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860" windowHeight="9255" activeTab="0"/>
  </bookViews>
  <sheets>
    <sheet name="2016" sheetId="1" r:id="rId1"/>
    <sheet name="НПn2016" sheetId="2" r:id="rId2"/>
    <sheet name="ПНД" sheetId="3" r:id="rId3"/>
    <sheet name="q1q2" sheetId="4" r:id="rId4"/>
    <sheet name="а1 а2 а3" sheetId="5" r:id="rId5"/>
  </sheets>
  <definedNames/>
  <calcPr fullCalcOnLoad="1"/>
</workbook>
</file>

<file path=xl/sharedStrings.xml><?xml version="1.0" encoding="utf-8"?>
<sst xmlns="http://schemas.openxmlformats.org/spreadsheetml/2006/main" count="224" uniqueCount="148">
  <si>
    <t>Сельские поселения</t>
  </si>
  <si>
    <t>Горноправдинск</t>
  </si>
  <si>
    <t>Селиярово</t>
  </si>
  <si>
    <t>Шапша</t>
  </si>
  <si>
    <t>Цингалы</t>
  </si>
  <si>
    <t>Нялино</t>
  </si>
  <si>
    <t>Сибирский</t>
  </si>
  <si>
    <t>Красноленинский</t>
  </si>
  <si>
    <t>Выкатное</t>
  </si>
  <si>
    <t>Кедровый</t>
  </si>
  <si>
    <t>Кышик</t>
  </si>
  <si>
    <t>Согом</t>
  </si>
  <si>
    <t>ИТОГО по району</t>
  </si>
  <si>
    <t>НПn</t>
  </si>
  <si>
    <t>Луговской</t>
  </si>
  <si>
    <r>
      <t xml:space="preserve">Численность населения, проживающего в населенных пунктах с числ.населения не более 500 чел.      </t>
    </r>
    <r>
      <rPr>
        <b/>
        <sz val="10"/>
        <rFont val="Times New Roman"/>
        <family val="1"/>
      </rPr>
      <t>Hn500 (H500</t>
    </r>
    <r>
      <rPr>
        <sz val="10"/>
        <rFont val="Times New Roman"/>
        <family val="1"/>
      </rPr>
      <t>)</t>
    </r>
  </si>
  <si>
    <r>
      <t xml:space="preserve">Коэф-т дисперсности </t>
    </r>
    <r>
      <rPr>
        <b/>
        <sz val="10"/>
        <rFont val="Times New Roman"/>
        <family val="1"/>
      </rPr>
      <t>Kn дисп</t>
    </r>
  </si>
  <si>
    <r>
      <t xml:space="preserve">Коэффициент дифференциации расходов на содержание жилого фонда в поселении      </t>
    </r>
    <r>
      <rPr>
        <b/>
        <sz val="10"/>
        <rFont val="Times New Roman"/>
        <family val="1"/>
      </rPr>
      <t>Kn жф</t>
    </r>
  </si>
  <si>
    <r>
      <t xml:space="preserve">Средняя  численность  постоянного  населения  поселений, входящих  в состав территории муниципального района     </t>
    </r>
    <r>
      <rPr>
        <b/>
        <sz val="10"/>
        <rFont val="Times New Roman"/>
        <family val="1"/>
      </rPr>
      <t>Нср</t>
    </r>
  </si>
  <si>
    <r>
      <t xml:space="preserve">Весовой коэффициент, устанавливае-мый уполномочен-ным органом местного самоуправления                                   </t>
    </r>
    <r>
      <rPr>
        <b/>
        <sz val="10"/>
        <rFont val="Times New Roman"/>
        <family val="1"/>
      </rPr>
      <t>С</t>
    </r>
  </si>
  <si>
    <r>
      <t xml:space="preserve">Коэф-т масштаба поселения      </t>
    </r>
    <r>
      <rPr>
        <b/>
        <sz val="10"/>
        <rFont val="Times New Roman"/>
        <family val="1"/>
      </rPr>
      <t>Кnм</t>
    </r>
  </si>
  <si>
    <r>
      <t xml:space="preserve">Доля расходов  на муниципальное управление и организацию оказания услуг в области культуры           </t>
    </r>
    <r>
      <rPr>
        <b/>
        <sz val="10"/>
        <rFont val="Times New Roman"/>
        <family val="1"/>
      </rPr>
      <t>a1</t>
    </r>
  </si>
  <si>
    <r>
      <t xml:space="preserve">Доля расходов на содержание муниципального жилого фонда   </t>
    </r>
    <r>
      <rPr>
        <b/>
        <sz val="10"/>
        <rFont val="Times New Roman"/>
        <family val="1"/>
      </rPr>
      <t>a2</t>
    </r>
  </si>
  <si>
    <r>
      <t xml:space="preserve">Доля других видов расходов  </t>
    </r>
    <r>
      <rPr>
        <b/>
        <sz val="10"/>
        <rFont val="Times New Roman"/>
        <family val="1"/>
      </rPr>
      <t>a3</t>
    </r>
  </si>
  <si>
    <r>
      <t xml:space="preserve">Экономически обоснованные тарифы  на водоснабжение и водоотведение                              </t>
    </r>
    <r>
      <rPr>
        <b/>
        <sz val="10"/>
        <rFont val="Times New Roman"/>
        <family val="1"/>
      </rPr>
      <t>Тn вод (Твод)</t>
    </r>
  </si>
  <si>
    <r>
      <t xml:space="preserve">Экономически обоснованные тарифы на электроэнергию   </t>
    </r>
    <r>
      <rPr>
        <b/>
        <sz val="10"/>
        <rFont val="Times New Roman"/>
        <family val="1"/>
      </rPr>
      <t>Тn эл (Тэл)</t>
    </r>
  </si>
  <si>
    <r>
      <t xml:space="preserve">Экономически обоснованные тарифы на теплоснабжение          </t>
    </r>
    <r>
      <rPr>
        <b/>
        <sz val="10"/>
        <rFont val="Times New Roman"/>
        <family val="1"/>
      </rPr>
      <t>Тn тепл (Ттепл)</t>
    </r>
  </si>
  <si>
    <r>
      <t xml:space="preserve">Коэф-т стоимости предоставления коммунальных услуг              </t>
    </r>
    <r>
      <rPr>
        <b/>
        <sz val="10"/>
        <rFont val="Times New Roman"/>
        <family val="1"/>
      </rPr>
      <t>Kn ку</t>
    </r>
  </si>
  <si>
    <r>
      <t xml:space="preserve">Удельный вес сельского населения поселения  </t>
    </r>
    <r>
      <rPr>
        <b/>
        <sz val="10"/>
        <rFont val="Times New Roman"/>
        <family val="1"/>
      </rPr>
      <t>УВСНn (УВСН)</t>
    </r>
  </si>
  <si>
    <r>
      <t xml:space="preserve">Коэффициент заработной платы в поселении        </t>
    </r>
    <r>
      <rPr>
        <b/>
        <sz val="10"/>
        <rFont val="Times New Roman"/>
        <family val="1"/>
      </rPr>
      <t>Kn  зп</t>
    </r>
  </si>
  <si>
    <r>
      <t xml:space="preserve">Расчетный удельный вес расходов на оплату труда и начисления на выплаты по оплате труда в среднем по бюджетам всех поселений     </t>
    </r>
    <r>
      <rPr>
        <b/>
        <sz val="10"/>
        <rFont val="Times New Roman"/>
        <family val="1"/>
      </rPr>
      <t>q1</t>
    </r>
  </si>
  <si>
    <r>
      <t xml:space="preserve">Расчетный удельный вес расходов на коммунальные услуги в среднем по бюджетам всех поселений          </t>
    </r>
    <r>
      <rPr>
        <b/>
        <sz val="10"/>
        <rFont val="Times New Roman"/>
        <family val="1"/>
      </rPr>
      <t>q2</t>
    </r>
  </si>
  <si>
    <r>
      <t xml:space="preserve">Коэффициент стоимости предоставления муниципальных услуг в поселении           </t>
    </r>
    <r>
      <rPr>
        <b/>
        <sz val="10"/>
        <rFont val="Times New Roman"/>
        <family val="1"/>
      </rPr>
      <t>Kn стоим</t>
    </r>
  </si>
  <si>
    <r>
      <t xml:space="preserve">Коэффициент структуры потребителей муниципальных услуг поселения     </t>
    </r>
    <r>
      <rPr>
        <b/>
        <sz val="10"/>
        <rFont val="Times New Roman"/>
        <family val="1"/>
      </rPr>
      <t>Kn стр</t>
    </r>
  </si>
  <si>
    <t>(Кn стоим*Kn стр*Hn)</t>
  </si>
  <si>
    <t>ПДj           НДФЛ</t>
  </si>
  <si>
    <t>НОРМj                  НДФЛ</t>
  </si>
  <si>
    <t>БНnj                    НДФЛ</t>
  </si>
  <si>
    <t>НПnj                         НДФЛ</t>
  </si>
  <si>
    <t>НОРМj                  Налог на имущество физических лиц</t>
  </si>
  <si>
    <t>БНnj                    Налог на имущество физических лиц</t>
  </si>
  <si>
    <t>НПnj                         Налог на имущество физических лиц</t>
  </si>
  <si>
    <t>ПДj                       Налог на имущество физических лиц</t>
  </si>
  <si>
    <t>ПДj                       Земельный налог</t>
  </si>
  <si>
    <t>НОРМj                  Земельный налог</t>
  </si>
  <si>
    <t>БНnj                    Земельный налог</t>
  </si>
  <si>
    <t>НПnj                         Земельный налог</t>
  </si>
  <si>
    <r>
      <t xml:space="preserve">Налоговый потенциал поселения     </t>
    </r>
    <r>
      <rPr>
        <b/>
        <sz val="10"/>
        <rFont val="Times New Roman"/>
        <family val="1"/>
      </rPr>
      <t>НПn (НП)</t>
    </r>
  </si>
  <si>
    <r>
      <rPr>
        <sz val="10"/>
        <rFont val="Times New Roman"/>
        <family val="1"/>
      </rPr>
      <t xml:space="preserve">Индекс налогового потенциала поселения </t>
    </r>
    <r>
      <rPr>
        <b/>
        <sz val="10"/>
        <rFont val="Times New Roman"/>
        <family val="1"/>
      </rPr>
      <t xml:space="preserve"> ИНПn</t>
    </r>
  </si>
  <si>
    <r>
      <t xml:space="preserve">Часть районного фонда финансовой поддержки поселений, сформированная за счет собственных средств бюджета района, включая субсидию на формирование районных фондов финансовой поддержки поселений                </t>
    </r>
    <r>
      <rPr>
        <b/>
        <sz val="10"/>
        <rFont val="Times New Roman"/>
        <family val="1"/>
      </rPr>
      <t>Д2</t>
    </r>
  </si>
  <si>
    <r>
      <rPr>
        <sz val="10"/>
        <rFont val="Times New Roman"/>
        <family val="1"/>
      </rPr>
      <t xml:space="preserve">Индекс бюджетных расходов поселения  </t>
    </r>
    <r>
      <rPr>
        <b/>
        <sz val="10"/>
        <rFont val="Times New Roman"/>
        <family val="1"/>
      </rPr>
      <t>ИБРn</t>
    </r>
  </si>
  <si>
    <r>
      <t xml:space="preserve">Уровень расчетной бюджетной обеспеченности поселения </t>
    </r>
    <r>
      <rPr>
        <b/>
        <sz val="10"/>
        <rFont val="Times New Roman"/>
        <family val="1"/>
      </rPr>
      <t>БОn</t>
    </r>
  </si>
  <si>
    <r>
      <rPr>
        <sz val="10"/>
        <rFont val="Times New Roman"/>
        <family val="1"/>
      </rPr>
      <t xml:space="preserve">Прогноз налоговых доходов бюджетов поселений </t>
    </r>
    <r>
      <rPr>
        <b/>
        <sz val="10"/>
        <rFont val="Times New Roman"/>
        <family val="1"/>
      </rPr>
      <t>ПНД</t>
    </r>
  </si>
  <si>
    <r>
      <t xml:space="preserve">Уровень расчетной бюджетной обеспеченности, установленный в качестве критерия выравнивания расчетной бюджетной обеспеченности поселений                </t>
    </r>
    <r>
      <rPr>
        <b/>
        <sz val="10"/>
        <rFont val="Times New Roman"/>
        <family val="1"/>
      </rPr>
      <t>БО кр</t>
    </r>
  </si>
  <si>
    <r>
      <t xml:space="preserve">Объём средств, необходимых для доведения уровня расчетной бюджетной обеспеченности поселения до уровня, установленного в качестве критерия выравнивания расчетной бюджетной обеспеченности поселений                    </t>
    </r>
    <r>
      <rPr>
        <b/>
        <sz val="10"/>
        <rFont val="Times New Roman"/>
        <family val="1"/>
      </rPr>
      <t>Tn</t>
    </r>
  </si>
  <si>
    <r>
      <rPr>
        <sz val="10"/>
        <rFont val="Times New Roman"/>
        <family val="1"/>
      </rPr>
      <t xml:space="preserve">Размер второй части дотации на выравнивание бюджетной обеспеченности                               </t>
    </r>
    <r>
      <rPr>
        <b/>
        <sz val="10"/>
        <rFont val="Times New Roman"/>
        <family val="1"/>
      </rPr>
      <t>Д2n</t>
    </r>
  </si>
  <si>
    <r>
      <t xml:space="preserve">Размер субвенции бюджету муниципального района из бюджета автономного округа на предоставление дотаций на выравнивание бюджетной обеспеченности поселений за счет средств бюджета автономного округа  </t>
    </r>
    <r>
      <rPr>
        <b/>
        <sz val="10"/>
        <rFont val="Times New Roman"/>
        <family val="1"/>
      </rPr>
      <t>Субв</t>
    </r>
  </si>
  <si>
    <r>
      <t xml:space="preserve">Размер первой части дотации на выравнивание бюджетной обеспеченности поселений                        </t>
    </r>
    <r>
      <rPr>
        <b/>
        <sz val="10"/>
        <rFont val="Times New Roman"/>
        <family val="1"/>
      </rPr>
      <t>Д1n</t>
    </r>
  </si>
  <si>
    <r>
      <t xml:space="preserve">Размер дотации на выравнивание бюджетной обеспеченности поселению                             </t>
    </r>
    <r>
      <rPr>
        <b/>
        <sz val="10"/>
        <rFont val="Times New Roman"/>
        <family val="1"/>
      </rPr>
      <t>Дn</t>
    </r>
  </si>
  <si>
    <r>
      <t xml:space="preserve">Площадь жилого фонда поселения </t>
    </r>
    <r>
      <rPr>
        <b/>
        <sz val="10"/>
        <rFont val="Times New Roman"/>
        <family val="1"/>
      </rPr>
      <t>Пnжф (Пжф)</t>
    </r>
  </si>
  <si>
    <t>Налог на доходы физических лиц (по нормативу 10%)</t>
  </si>
  <si>
    <t>Налог на имущество физических лиц</t>
  </si>
  <si>
    <t>Земельный налог</t>
  </si>
  <si>
    <t>Сельское поселение Горноправдинск</t>
  </si>
  <si>
    <t>Сельское поселение Селиярово</t>
  </si>
  <si>
    <t>Сельское поселение Шапша</t>
  </si>
  <si>
    <t xml:space="preserve">Сельское поселение Кышик </t>
  </si>
  <si>
    <t>Сельское поселение Нялинское</t>
  </si>
  <si>
    <t>Сельское поселение Красноленинский</t>
  </si>
  <si>
    <t>Сельское поселение Кедровый</t>
  </si>
  <si>
    <t>Сельское поселение Луговской</t>
  </si>
  <si>
    <t>Сельское поселение Цингалы</t>
  </si>
  <si>
    <t>Сельское поселение Сибирский</t>
  </si>
  <si>
    <t>Сельское поселение Выкатной</t>
  </si>
  <si>
    <t>Сельское поселение Согом</t>
  </si>
  <si>
    <t>ИТОГО</t>
  </si>
  <si>
    <t>ИТОГО по  налогам</t>
  </si>
  <si>
    <t>тыс. руб.</t>
  </si>
  <si>
    <t>Наименование</t>
  </si>
  <si>
    <t>Статья</t>
  </si>
  <si>
    <t>Выкатной</t>
  </si>
  <si>
    <t>Нялинское</t>
  </si>
  <si>
    <t>Итого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</si>
  <si>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</si>
  <si>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</si>
  <si>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</si>
  <si>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</si>
  <si>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</si>
  <si>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</si>
  <si>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</si>
  <si>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</si>
  <si>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</si>
  <si>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241</t>
  </si>
  <si>
    <t>242</t>
  </si>
  <si>
    <t>251</t>
  </si>
  <si>
    <t>262</t>
  </si>
  <si>
    <t>263</t>
  </si>
  <si>
    <t>290</t>
  </si>
  <si>
    <t>310</t>
  </si>
  <si>
    <t>340</t>
  </si>
  <si>
    <t>ВСЕГО</t>
  </si>
  <si>
    <t>211+213</t>
  </si>
  <si>
    <t>q1</t>
  </si>
  <si>
    <t>q2</t>
  </si>
  <si>
    <t>РАЗДЕЛ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</si>
  <si>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</si>
  <si>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</si>
  <si>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</si>
  <si>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</si>
  <si>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</si>
  <si>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</si>
  <si>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</si>
  <si>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</si>
  <si>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</si>
  <si>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0100+0800</t>
  </si>
  <si>
    <t>а1</t>
  </si>
  <si>
    <t>а2</t>
  </si>
  <si>
    <t>Фактическое исполнение расходов на муниципальное управление и организацию оказания услуг в области культуры</t>
  </si>
  <si>
    <t>Фактическое исполнение расходов на содержание муниципального жилого фонда</t>
  </si>
  <si>
    <t>Фактическое исполнение других видов расходов</t>
  </si>
  <si>
    <t>а3</t>
  </si>
  <si>
    <t>РАЗДЕЛ 0501</t>
  </si>
  <si>
    <t>Расчет распределения дотации на 2016 год</t>
  </si>
  <si>
    <t>на 2016 год</t>
  </si>
  <si>
    <t>Расчет налогового потенциала поселений на 2016 год</t>
  </si>
  <si>
    <t>справочно</t>
  </si>
  <si>
    <t>в том числе</t>
  </si>
  <si>
    <t>0200</t>
  </si>
  <si>
    <t>Председатель комитета по финансам:                                                                 Т.Ю. Горелик</t>
  </si>
  <si>
    <t>на 2017 год</t>
  </si>
  <si>
    <t>(Тn вод * Нn)</t>
  </si>
  <si>
    <t>(Тn тепл * Hn)</t>
  </si>
  <si>
    <t>(Тn эл * Hn)</t>
  </si>
  <si>
    <t>Фактическое исполнение бюджета по сельским поселения района за 2014 год по экономическим статьям</t>
  </si>
  <si>
    <t xml:space="preserve">Фактическое исполнению бюджета по сельским поселениям района за 2014 год по разделам бюджетной классификации </t>
  </si>
  <si>
    <t>7028301</t>
  </si>
  <si>
    <r>
      <t xml:space="preserve">Численность постоянного населения  на 01.01.2015 г.                                      </t>
    </r>
    <r>
      <rPr>
        <b/>
        <sz val="10"/>
        <rFont val="Times New Roman"/>
        <family val="1"/>
      </rPr>
      <t>Hn (H)</t>
    </r>
  </si>
  <si>
    <r>
      <t xml:space="preserve">Численность сельского населения на 01.01.2015 г.               </t>
    </r>
    <r>
      <rPr>
        <b/>
        <sz val="10"/>
        <rFont val="Times New Roman"/>
        <family val="1"/>
      </rPr>
      <t>Hn (H)</t>
    </r>
  </si>
  <si>
    <t>на 2018 год</t>
  </si>
  <si>
    <t>Прогноз налоговых доходов бюджетов поселений (ПНД) на 2016-2018 годы</t>
  </si>
  <si>
    <t>1109111</t>
  </si>
  <si>
    <t>1109601</t>
  </si>
  <si>
    <t>2209601</t>
  </si>
  <si>
    <t>2209703</t>
  </si>
  <si>
    <t>2209705</t>
  </si>
  <si>
    <t>3708437</t>
  </si>
  <si>
    <t>7028113</t>
  </si>
  <si>
    <t>7029601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</si>
</sst>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  <numFmt numFmtId="167" formatCode="_-* #,##0.0_р_._-;\-* #,##0.0_р_._-;_-* &quot;-&quot;?_р_._-;_-@_-"/>
    <numFmt numFmtId="168" formatCode="_-* #,##0.000_р_._-;\-* #,##0.000_р_._-;_-* &quot;-&quot;???_р_._-;_-@_-"/>
    <numFmt numFmtId="169" formatCode="0.0%"/>
    <numFmt numFmtId="170" formatCode="#,##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[Red]\-#,##0.0\ "/>
    <numFmt numFmtId="183" formatCode="#,##0.00_ ;[Red]\-#,##0.00\ "/>
    <numFmt numFmtId="184" formatCode="0.000000000000000"/>
    <numFmt numFmtId="185" formatCode="0.0000000000000000000"/>
    <numFmt numFmtId="186" formatCode="#,##0.00;[Red]\-#,##0.00;0.00"/>
    <numFmt numFmtId="187" formatCode="\&gt;\A\A.\A\A"/>
    <numFmt numFmtId="188" formatCode="\&gt;\A\A\A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164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8" fillId="0" borderId="0" xfId="0" applyNumberFormat="1" applyFont="1" applyAlignment="1">
      <alignment vertical="center" wrapText="1"/>
    </xf>
    <xf numFmtId="2" fontId="69" fillId="0" borderId="0" xfId="0" applyNumberFormat="1" applyFont="1" applyAlignment="1">
      <alignment horizontal="center" vertical="center" wrapText="1"/>
    </xf>
    <xf numFmtId="2" fontId="70" fillId="0" borderId="0" xfId="0" applyNumberFormat="1" applyFont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164" fontId="6" fillId="34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5" fontId="4" fillId="0" borderId="10" xfId="64" applyNumberFormat="1" applyFont="1" applyFill="1" applyBorder="1" applyAlignment="1">
      <alignment vertical="center" wrapText="1"/>
    </xf>
    <xf numFmtId="165" fontId="4" fillId="33" borderId="10" xfId="64" applyNumberFormat="1" applyFont="1" applyFill="1" applyBorder="1" applyAlignment="1">
      <alignment vertical="center" wrapText="1"/>
    </xf>
    <xf numFmtId="164" fontId="4" fillId="33" borderId="10" xfId="64" applyNumberFormat="1" applyFont="1" applyFill="1" applyBorder="1" applyAlignment="1">
      <alignment vertical="center" wrapText="1"/>
    </xf>
    <xf numFmtId="165" fontId="5" fillId="0" borderId="10" xfId="64" applyNumberFormat="1" applyFont="1" applyFill="1" applyBorder="1" applyAlignment="1">
      <alignment vertical="center" wrapText="1"/>
    </xf>
    <xf numFmtId="165" fontId="5" fillId="33" borderId="10" xfId="64" applyNumberFormat="1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5" fontId="4" fillId="35" borderId="10" xfId="64" applyNumberFormat="1" applyFont="1" applyFill="1" applyBorder="1" applyAlignment="1">
      <alignment vertical="center" wrapText="1"/>
    </xf>
    <xf numFmtId="165" fontId="5" fillId="35" borderId="10" xfId="64" applyNumberFormat="1" applyFont="1" applyFill="1" applyBorder="1" applyAlignment="1">
      <alignment vertical="center" wrapText="1"/>
    </xf>
    <xf numFmtId="165" fontId="6" fillId="35" borderId="10" xfId="0" applyNumberFormat="1" applyFont="1" applyFill="1" applyBorder="1" applyAlignment="1">
      <alignment horizontal="center" vertical="center" wrapText="1"/>
    </xf>
    <xf numFmtId="165" fontId="6" fillId="36" borderId="10" xfId="0" applyNumberFormat="1" applyFont="1" applyFill="1" applyBorder="1" applyAlignment="1">
      <alignment horizontal="center" vertical="center" wrapText="1"/>
    </xf>
    <xf numFmtId="165" fontId="4" fillId="34" borderId="10" xfId="64" applyNumberFormat="1" applyFont="1" applyFill="1" applyBorder="1" applyAlignment="1">
      <alignment vertical="center" wrapText="1"/>
    </xf>
    <xf numFmtId="2" fontId="68" fillId="0" borderId="0" xfId="0" applyNumberFormat="1" applyFont="1" applyFill="1" applyAlignment="1">
      <alignment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5" fillId="34" borderId="0" xfId="0" applyNumberFormat="1" applyFont="1" applyFill="1" applyAlignment="1">
      <alignment/>
    </xf>
    <xf numFmtId="0" fontId="55" fillId="34" borderId="0" xfId="0" applyFont="1" applyFill="1" applyAlignment="1">
      <alignment horizontal="center"/>
    </xf>
    <xf numFmtId="1" fontId="0" fillId="0" borderId="0" xfId="0" applyNumberFormat="1" applyAlignment="1">
      <alignment/>
    </xf>
    <xf numFmtId="2" fontId="55" fillId="34" borderId="0" xfId="0" applyNumberFormat="1" applyFont="1" applyFill="1" applyBorder="1" applyAlignment="1">
      <alignment/>
    </xf>
    <xf numFmtId="2" fontId="55" fillId="34" borderId="0" xfId="0" applyNumberFormat="1" applyFont="1" applyFill="1" applyBorder="1" applyAlignment="1">
      <alignment horizontal="right" vertical="center"/>
    </xf>
    <xf numFmtId="177" fontId="0" fillId="0" borderId="0" xfId="0" applyNumberFormat="1" applyAlignment="1">
      <alignment/>
    </xf>
    <xf numFmtId="0" fontId="7" fillId="0" borderId="0" xfId="33" applyFont="1" applyFill="1" applyAlignment="1" applyProtection="1">
      <alignment vertical="center" wrapText="1"/>
      <protection/>
    </xf>
    <xf numFmtId="0" fontId="71" fillId="0" borderId="0" xfId="0" applyFont="1" applyFill="1" applyAlignment="1" applyProtection="1">
      <alignment vertical="center" wrapText="1"/>
      <protection/>
    </xf>
    <xf numFmtId="0" fontId="7" fillId="0" borderId="0" xfId="33" applyFont="1" applyFill="1" applyAlignment="1" applyProtection="1">
      <alignment horizontal="center" vertical="center" wrapText="1"/>
      <protection/>
    </xf>
    <xf numFmtId="0" fontId="11" fillId="33" borderId="10" xfId="55" applyFont="1" applyFill="1" applyBorder="1" applyAlignment="1" applyProtection="1">
      <alignment horizontal="center" vertical="center" wrapText="1"/>
      <protection/>
    </xf>
    <xf numFmtId="0" fontId="11" fillId="35" borderId="10" xfId="55" applyFont="1" applyFill="1" applyBorder="1" applyAlignment="1" applyProtection="1">
      <alignment horizontal="center" vertical="center" wrapText="1"/>
      <protection/>
    </xf>
    <xf numFmtId="0" fontId="11" fillId="36" borderId="10" xfId="55" applyFont="1" applyFill="1" applyBorder="1" applyAlignment="1" applyProtection="1">
      <alignment horizontal="center" vertical="center" wrapText="1"/>
      <protection/>
    </xf>
    <xf numFmtId="177" fontId="9" fillId="33" borderId="10" xfId="33" applyNumberFormat="1" applyFont="1" applyFill="1" applyBorder="1" applyAlignment="1" applyProtection="1">
      <alignment horizontal="center" vertical="center" wrapText="1"/>
      <protection/>
    </xf>
    <xf numFmtId="177" fontId="9" fillId="35" borderId="10" xfId="33" applyNumberFormat="1" applyFont="1" applyFill="1" applyBorder="1" applyAlignment="1" applyProtection="1">
      <alignment horizontal="center" vertical="center" wrapText="1"/>
      <protection/>
    </xf>
    <xf numFmtId="177" fontId="9" fillId="36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vertical="center" wrapText="1"/>
      <protection/>
    </xf>
    <xf numFmtId="177" fontId="9" fillId="33" borderId="10" xfId="33" applyNumberFormat="1" applyFont="1" applyFill="1" applyBorder="1" applyAlignment="1" applyProtection="1">
      <alignment vertical="center" wrapText="1"/>
      <protection/>
    </xf>
    <xf numFmtId="177" fontId="9" fillId="35" borderId="10" xfId="33" applyNumberFormat="1" applyFont="1" applyFill="1" applyBorder="1" applyAlignment="1" applyProtection="1">
      <alignment vertical="center" wrapText="1"/>
      <protection/>
    </xf>
    <xf numFmtId="177" fontId="9" fillId="36" borderId="10" xfId="33" applyNumberFormat="1" applyFont="1" applyFill="1" applyBorder="1" applyAlignment="1" applyProtection="1">
      <alignment vertical="center" wrapText="1"/>
      <protection/>
    </xf>
    <xf numFmtId="0" fontId="9" fillId="0" borderId="0" xfId="33" applyFont="1" applyFill="1" applyAlignment="1" applyProtection="1">
      <alignment vertical="center" wrapText="1"/>
      <protection/>
    </xf>
    <xf numFmtId="177" fontId="12" fillId="0" borderId="0" xfId="0" applyNumberFormat="1" applyFont="1" applyFill="1" applyAlignment="1">
      <alignment vertical="center" wrapText="1"/>
    </xf>
    <xf numFmtId="177" fontId="4" fillId="33" borderId="10" xfId="64" applyNumberFormat="1" applyFont="1" applyFill="1" applyBorder="1" applyAlignment="1">
      <alignment vertical="center" wrapText="1"/>
    </xf>
    <xf numFmtId="177" fontId="5" fillId="0" borderId="10" xfId="64" applyNumberFormat="1" applyFont="1" applyFill="1" applyBorder="1" applyAlignment="1">
      <alignment vertical="center" wrapText="1"/>
    </xf>
    <xf numFmtId="177" fontId="4" fillId="34" borderId="10" xfId="64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4" fontId="4" fillId="36" borderId="10" xfId="64" applyNumberFormat="1" applyFont="1" applyFill="1" applyBorder="1" applyAlignment="1">
      <alignment vertical="center" wrapText="1"/>
    </xf>
    <xf numFmtId="4" fontId="5" fillId="36" borderId="10" xfId="64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 wrapText="1"/>
    </xf>
    <xf numFmtId="0" fontId="40" fillId="0" borderId="1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4" fillId="0" borderId="10" xfId="64" applyNumberFormat="1" applyFont="1" applyFill="1" applyBorder="1" applyAlignment="1">
      <alignment vertical="center" wrapText="1"/>
    </xf>
    <xf numFmtId="166" fontId="4" fillId="0" borderId="10" xfId="64" applyNumberFormat="1" applyFont="1" applyFill="1" applyBorder="1" applyAlignment="1">
      <alignment vertical="center" wrapText="1"/>
    </xf>
    <xf numFmtId="2" fontId="5" fillId="33" borderId="10" xfId="64" applyNumberFormat="1" applyFont="1" applyFill="1" applyBorder="1" applyAlignment="1">
      <alignment vertical="center" wrapText="1"/>
    </xf>
    <xf numFmtId="164" fontId="4" fillId="34" borderId="10" xfId="64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4" fillId="0" borderId="10" xfId="33" applyNumberFormat="1" applyFont="1" applyFill="1" applyBorder="1">
      <alignment/>
      <protection/>
    </xf>
    <xf numFmtId="166" fontId="5" fillId="0" borderId="10" xfId="64" applyNumberFormat="1" applyFont="1" applyFill="1" applyBorder="1" applyAlignment="1">
      <alignment vertical="center" wrapText="1"/>
    </xf>
    <xf numFmtId="164" fontId="5" fillId="33" borderId="10" xfId="64" applyNumberFormat="1" applyFont="1" applyFill="1" applyBorder="1" applyAlignment="1">
      <alignment vertical="center" wrapText="1"/>
    </xf>
    <xf numFmtId="2" fontId="5" fillId="0" borderId="10" xfId="64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164" fontId="4" fillId="0" borderId="10" xfId="64" applyNumberFormat="1" applyFont="1" applyFill="1" applyBorder="1" applyAlignment="1">
      <alignment vertical="center" wrapText="1"/>
    </xf>
    <xf numFmtId="164" fontId="5" fillId="0" borderId="10" xfId="64" applyNumberFormat="1" applyFont="1" applyFill="1" applyBorder="1" applyAlignment="1">
      <alignment vertical="center" wrapText="1"/>
    </xf>
    <xf numFmtId="177" fontId="5" fillId="34" borderId="10" xfId="64" applyNumberFormat="1" applyFont="1" applyFill="1" applyBorder="1" applyAlignment="1">
      <alignment vertical="center" wrapText="1"/>
    </xf>
    <xf numFmtId="177" fontId="41" fillId="0" borderId="10" xfId="0" applyNumberFormat="1" applyFont="1" applyFill="1" applyBorder="1" applyAlignment="1">
      <alignment horizontal="center" vertical="center"/>
    </xf>
    <xf numFmtId="177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17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10" xfId="0" applyFont="1" applyBorder="1" applyAlignment="1">
      <alignment/>
    </xf>
    <xf numFmtId="177" fontId="41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9" fontId="40" fillId="0" borderId="10" xfId="0" applyNumberFormat="1" applyFont="1" applyBorder="1" applyAlignment="1">
      <alignment horizontal="center" wrapText="1"/>
    </xf>
    <xf numFmtId="177" fontId="40" fillId="0" borderId="10" xfId="0" applyNumberFormat="1" applyFont="1" applyBorder="1" applyAlignment="1">
      <alignment horizontal="center" vertical="center"/>
    </xf>
    <xf numFmtId="1" fontId="40" fillId="0" borderId="10" xfId="0" applyNumberFormat="1" applyFont="1" applyBorder="1" applyAlignment="1">
      <alignment/>
    </xf>
    <xf numFmtId="177" fontId="40" fillId="0" borderId="10" xfId="0" applyNumberFormat="1" applyFont="1" applyBorder="1" applyAlignment="1">
      <alignment/>
    </xf>
    <xf numFmtId="164" fontId="5" fillId="0" borderId="10" xfId="64" applyNumberFormat="1" applyFont="1" applyFill="1" applyBorder="1" applyAlignment="1" applyProtection="1">
      <alignment vertical="center" wrapText="1"/>
      <protection locked="0"/>
    </xf>
    <xf numFmtId="49" fontId="40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177" fontId="4" fillId="0" borderId="10" xfId="64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7" fontId="42" fillId="0" borderId="0" xfId="0" applyNumberFormat="1" applyFont="1" applyBorder="1" applyAlignment="1">
      <alignment horizontal="center"/>
    </xf>
    <xf numFmtId="177" fontId="42" fillId="0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/>
    </xf>
    <xf numFmtId="186" fontId="43" fillId="0" borderId="12" xfId="54" applyNumberFormat="1" applyFont="1" applyFill="1" applyBorder="1" applyAlignment="1" applyProtection="1">
      <alignment vertical="center"/>
      <protection/>
    </xf>
    <xf numFmtId="186" fontId="43" fillId="0" borderId="13" xfId="54" applyNumberFormat="1" applyFont="1" applyFill="1" applyBorder="1" applyAlignment="1" applyProtection="1">
      <alignment vertical="center"/>
      <protection/>
    </xf>
    <xf numFmtId="186" fontId="43" fillId="0" borderId="14" xfId="54" applyNumberFormat="1" applyFont="1" applyFill="1" applyBorder="1" applyAlignment="1" applyProtection="1">
      <alignment vertical="center"/>
      <protection/>
    </xf>
    <xf numFmtId="186" fontId="43" fillId="0" borderId="11" xfId="54" applyNumberFormat="1" applyFont="1" applyFill="1" applyBorder="1" applyAlignment="1" applyProtection="1">
      <alignment vertical="center"/>
      <protection/>
    </xf>
    <xf numFmtId="0" fontId="55" fillId="0" borderId="10" xfId="0" applyFont="1" applyBorder="1" applyAlignment="1">
      <alignment horizontal="center" vertical="center" wrapText="1"/>
    </xf>
    <xf numFmtId="186" fontId="14" fillId="0" borderId="15" xfId="54" applyNumberFormat="1" applyFont="1" applyFill="1" applyBorder="1" applyAlignment="1" applyProtection="1">
      <alignment vertical="center"/>
      <protection/>
    </xf>
    <xf numFmtId="186" fontId="14" fillId="0" borderId="14" xfId="54" applyNumberFormat="1" applyFont="1" applyFill="1" applyBorder="1" applyAlignment="1" applyProtection="1">
      <alignment vertical="center"/>
      <protection/>
    </xf>
    <xf numFmtId="186" fontId="14" fillId="0" borderId="10" xfId="54" applyNumberFormat="1" applyFont="1" applyFill="1" applyBorder="1" applyAlignment="1" applyProtection="1">
      <alignment vertical="center"/>
      <protection/>
    </xf>
    <xf numFmtId="186" fontId="14" fillId="0" borderId="11" xfId="54" applyNumberFormat="1" applyFont="1" applyFill="1" applyBorder="1" applyAlignment="1" applyProtection="1">
      <alignment vertical="center"/>
      <protection/>
    </xf>
    <xf numFmtId="0" fontId="7" fillId="0" borderId="10" xfId="54" applyBorder="1">
      <alignment/>
      <protection/>
    </xf>
    <xf numFmtId="177" fontId="10" fillId="33" borderId="10" xfId="55" applyNumberFormat="1" applyFont="1" applyFill="1" applyBorder="1" applyAlignment="1" applyProtection="1">
      <alignment horizontal="center" vertical="center" wrapText="1"/>
      <protection/>
    </xf>
    <xf numFmtId="177" fontId="10" fillId="35" borderId="10" xfId="55" applyNumberFormat="1" applyFont="1" applyFill="1" applyBorder="1" applyAlignment="1" applyProtection="1">
      <alignment horizontal="center" vertical="center" wrapText="1"/>
      <protection/>
    </xf>
    <xf numFmtId="177" fontId="10" fillId="36" borderId="10" xfId="55" applyNumberFormat="1" applyFont="1" applyFill="1" applyBorder="1" applyAlignment="1" applyProtection="1">
      <alignment horizontal="center" vertical="center" wrapText="1"/>
      <protection/>
    </xf>
    <xf numFmtId="165" fontId="10" fillId="33" borderId="10" xfId="64" applyNumberFormat="1" applyFont="1" applyFill="1" applyBorder="1" applyAlignment="1" applyProtection="1">
      <alignment vertical="center" wrapText="1"/>
      <protection/>
    </xf>
    <xf numFmtId="165" fontId="10" fillId="35" borderId="10" xfId="64" applyNumberFormat="1" applyFont="1" applyFill="1" applyBorder="1" applyAlignment="1" applyProtection="1">
      <alignment vertical="center" wrapText="1"/>
      <protection/>
    </xf>
    <xf numFmtId="165" fontId="10" fillId="36" borderId="10" xfId="64" applyNumberFormat="1" applyFont="1" applyFill="1" applyBorder="1" applyAlignment="1" applyProtection="1">
      <alignment vertical="center" wrapText="1"/>
      <protection/>
    </xf>
    <xf numFmtId="165" fontId="5" fillId="34" borderId="10" xfId="64" applyNumberFormat="1" applyFont="1" applyFill="1" applyBorder="1" applyAlignment="1">
      <alignment vertical="center" wrapText="1"/>
    </xf>
    <xf numFmtId="165" fontId="5" fillId="34" borderId="10" xfId="64" applyNumberFormat="1" applyFont="1" applyFill="1" applyBorder="1" applyAlignment="1" applyProtection="1">
      <alignment vertical="center" wrapText="1"/>
      <protection locked="0"/>
    </xf>
    <xf numFmtId="164" fontId="2" fillId="37" borderId="10" xfId="0" applyNumberFormat="1" applyFont="1" applyFill="1" applyBorder="1" applyAlignment="1">
      <alignment horizontal="center" vertical="center" wrapText="1"/>
    </xf>
    <xf numFmtId="177" fontId="4" fillId="37" borderId="10" xfId="64" applyNumberFormat="1" applyFont="1" applyFill="1" applyBorder="1" applyAlignment="1" applyProtection="1">
      <alignment vertical="center" wrapText="1"/>
      <protection locked="0"/>
    </xf>
    <xf numFmtId="177" fontId="5" fillId="37" borderId="10" xfId="64" applyNumberFormat="1" applyFont="1" applyFill="1" applyBorder="1" applyAlignment="1">
      <alignment vertical="center" wrapText="1"/>
    </xf>
    <xf numFmtId="0" fontId="7" fillId="37" borderId="10" xfId="3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Font="1" applyFill="1" applyBorder="1" applyAlignment="1" applyProtection="1">
      <alignment horizontal="center" vertical="center" wrapText="1"/>
      <protection/>
    </xf>
    <xf numFmtId="0" fontId="9" fillId="0" borderId="0" xfId="55" applyFont="1" applyFill="1" applyAlignment="1" applyProtection="1">
      <alignment horizontal="center" vertical="center" wrapText="1"/>
      <protection/>
    </xf>
    <xf numFmtId="0" fontId="72" fillId="10" borderId="0" xfId="0" applyFont="1" applyFill="1" applyAlignment="1">
      <alignment horizontal="center"/>
    </xf>
    <xf numFmtId="0" fontId="73" fillId="11" borderId="0" xfId="0" applyFont="1" applyFill="1" applyAlignment="1">
      <alignment horizontal="center"/>
    </xf>
    <xf numFmtId="0" fontId="46" fillId="13" borderId="16" xfId="0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12.Приложение 1- свод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"/>
  <sheetViews>
    <sheetView tabSelected="1" zoomScaleSheetLayoutView="110" zoomScalePageLayoutView="0" workbookViewId="0" topLeftCell="A1">
      <pane xSplit="1" topLeftCell="B1" activePane="topRight" state="frozen"/>
      <selection pane="topLeft" activeCell="A3" sqref="A3"/>
      <selection pane="topRight" activeCell="A20" sqref="A20"/>
    </sheetView>
  </sheetViews>
  <sheetFormatPr defaultColWidth="9.140625" defaultRowHeight="15"/>
  <cols>
    <col min="1" max="1" width="26.28125" style="70" customWidth="1"/>
    <col min="2" max="3" width="11.7109375" style="70" customWidth="1"/>
    <col min="4" max="4" width="11.421875" style="70" customWidth="1"/>
    <col min="5" max="6" width="13.421875" style="70" customWidth="1"/>
    <col min="7" max="7" width="12.8515625" style="20" customWidth="1"/>
    <col min="8" max="8" width="11.7109375" style="20" customWidth="1"/>
    <col min="9" max="9" width="15.28125" style="20" customWidth="1"/>
    <col min="10" max="11" width="13.57421875" style="20" customWidth="1"/>
    <col min="12" max="12" width="14.8515625" style="20" customWidth="1"/>
    <col min="13" max="14" width="13.57421875" style="20" customWidth="1"/>
    <col min="15" max="16" width="15.28125" style="82" customWidth="1"/>
    <col min="17" max="18" width="14.140625" style="82" customWidth="1"/>
    <col min="19" max="20" width="15.28125" style="82" customWidth="1"/>
    <col min="21" max="32" width="11.7109375" style="20" customWidth="1"/>
    <col min="33" max="34" width="16.28125" style="20" customWidth="1"/>
    <col min="35" max="35" width="18.421875" style="20" customWidth="1"/>
    <col min="36" max="36" width="13.7109375" style="20" customWidth="1"/>
    <col min="37" max="37" width="17.7109375" style="20" customWidth="1"/>
    <col min="38" max="38" width="14.7109375" style="83" customWidth="1"/>
    <col min="39" max="39" width="14.57421875" style="83" customWidth="1"/>
    <col min="40" max="16384" width="9.140625" style="70" customWidth="1"/>
  </cols>
  <sheetData>
    <row r="1" spans="1:39" ht="62.25" customHeight="1">
      <c r="A1" s="140" t="s">
        <v>122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</row>
    <row r="2" spans="1:39" s="71" customFormat="1" ht="230.25" customHeight="1">
      <c r="A2" s="67" t="s">
        <v>0</v>
      </c>
      <c r="B2" s="14" t="s">
        <v>136</v>
      </c>
      <c r="C2" s="14" t="s">
        <v>137</v>
      </c>
      <c r="D2" s="14" t="s">
        <v>15</v>
      </c>
      <c r="E2" s="18" t="s">
        <v>16</v>
      </c>
      <c r="F2" s="7" t="s">
        <v>59</v>
      </c>
      <c r="G2" s="18" t="s">
        <v>17</v>
      </c>
      <c r="H2" s="7" t="s">
        <v>18</v>
      </c>
      <c r="I2" s="7" t="s">
        <v>19</v>
      </c>
      <c r="J2" s="18" t="s">
        <v>20</v>
      </c>
      <c r="K2" s="15" t="s">
        <v>21</v>
      </c>
      <c r="L2" s="15" t="s">
        <v>22</v>
      </c>
      <c r="M2" s="15" t="s">
        <v>23</v>
      </c>
      <c r="N2" s="18" t="s">
        <v>33</v>
      </c>
      <c r="O2" s="8" t="s">
        <v>24</v>
      </c>
      <c r="P2" s="8" t="s">
        <v>130</v>
      </c>
      <c r="Q2" s="8" t="s">
        <v>26</v>
      </c>
      <c r="R2" s="8" t="s">
        <v>131</v>
      </c>
      <c r="S2" s="8" t="s">
        <v>25</v>
      </c>
      <c r="T2" s="8" t="s">
        <v>132</v>
      </c>
      <c r="U2" s="18" t="s">
        <v>27</v>
      </c>
      <c r="V2" s="7" t="s">
        <v>28</v>
      </c>
      <c r="W2" s="18" t="s">
        <v>29</v>
      </c>
      <c r="X2" s="7" t="s">
        <v>30</v>
      </c>
      <c r="Y2" s="7" t="s">
        <v>31</v>
      </c>
      <c r="Z2" s="18" t="s">
        <v>32</v>
      </c>
      <c r="AA2" s="12" t="s">
        <v>34</v>
      </c>
      <c r="AB2" s="17" t="s">
        <v>50</v>
      </c>
      <c r="AC2" s="18" t="s">
        <v>47</v>
      </c>
      <c r="AD2" s="17" t="s">
        <v>48</v>
      </c>
      <c r="AE2" s="18" t="s">
        <v>51</v>
      </c>
      <c r="AF2" s="12" t="s">
        <v>52</v>
      </c>
      <c r="AG2" s="19" t="s">
        <v>49</v>
      </c>
      <c r="AH2" s="18" t="s">
        <v>53</v>
      </c>
      <c r="AI2" s="7" t="s">
        <v>54</v>
      </c>
      <c r="AJ2" s="26" t="s">
        <v>55</v>
      </c>
      <c r="AK2" s="19" t="s">
        <v>56</v>
      </c>
      <c r="AL2" s="29" t="s">
        <v>57</v>
      </c>
      <c r="AM2" s="30" t="s">
        <v>58</v>
      </c>
    </row>
    <row r="3" spans="1:39" s="71" customFormat="1" ht="12.75" customHeight="1">
      <c r="A3" s="112">
        <v>1</v>
      </c>
      <c r="B3" s="112">
        <v>2</v>
      </c>
      <c r="C3" s="112">
        <v>3</v>
      </c>
      <c r="D3" s="112">
        <v>4</v>
      </c>
      <c r="E3" s="113">
        <v>5</v>
      </c>
      <c r="F3" s="112">
        <v>6</v>
      </c>
      <c r="G3" s="113">
        <v>7</v>
      </c>
      <c r="H3" s="112">
        <v>8</v>
      </c>
      <c r="I3" s="112">
        <v>9</v>
      </c>
      <c r="J3" s="113">
        <v>10</v>
      </c>
      <c r="K3" s="112">
        <v>11</v>
      </c>
      <c r="L3" s="112">
        <v>12</v>
      </c>
      <c r="M3" s="112">
        <v>13</v>
      </c>
      <c r="N3" s="113">
        <v>14</v>
      </c>
      <c r="O3" s="112">
        <v>15</v>
      </c>
      <c r="P3" s="112">
        <v>16</v>
      </c>
      <c r="Q3" s="112">
        <v>17</v>
      </c>
      <c r="R3" s="112">
        <v>18</v>
      </c>
      <c r="S3" s="112">
        <v>19</v>
      </c>
      <c r="T3" s="112">
        <v>20</v>
      </c>
      <c r="U3" s="113">
        <v>21</v>
      </c>
      <c r="V3" s="112">
        <v>22</v>
      </c>
      <c r="W3" s="113">
        <v>23</v>
      </c>
      <c r="X3" s="112">
        <v>24</v>
      </c>
      <c r="Y3" s="112">
        <v>25</v>
      </c>
      <c r="Z3" s="113">
        <v>26</v>
      </c>
      <c r="AA3" s="112">
        <v>27</v>
      </c>
      <c r="AB3" s="113">
        <v>28</v>
      </c>
      <c r="AC3" s="113">
        <v>29</v>
      </c>
      <c r="AD3" s="113">
        <v>30</v>
      </c>
      <c r="AE3" s="113">
        <v>31</v>
      </c>
      <c r="AF3" s="112">
        <v>32</v>
      </c>
      <c r="AG3" s="114">
        <v>33</v>
      </c>
      <c r="AH3" s="113">
        <v>34</v>
      </c>
      <c r="AI3" s="112">
        <v>35</v>
      </c>
      <c r="AJ3" s="115">
        <v>36</v>
      </c>
      <c r="AK3" s="114">
        <v>37</v>
      </c>
      <c r="AL3" s="115">
        <v>38</v>
      </c>
      <c r="AM3" s="116">
        <v>39</v>
      </c>
    </row>
    <row r="4" spans="1:39" s="76" customFormat="1" ht="18.75">
      <c r="A4" s="16" t="s">
        <v>1</v>
      </c>
      <c r="B4" s="77">
        <v>5084</v>
      </c>
      <c r="C4" s="77">
        <v>5084</v>
      </c>
      <c r="D4" s="77">
        <v>475</v>
      </c>
      <c r="E4" s="23">
        <f>(1+D4/B4)/(1+D$16/B$16)</f>
        <v>0.9190741911646054</v>
      </c>
      <c r="F4" s="72">
        <v>127.5</v>
      </c>
      <c r="G4" s="23">
        <f>(F4/B4)/(F$16/B$16)</f>
        <v>1.1775218462652948</v>
      </c>
      <c r="H4" s="73"/>
      <c r="I4" s="21"/>
      <c r="J4" s="23">
        <f aca="true" t="shared" si="0" ref="J4:J16">SUM(I$16+(1-I$16)*H$16/B4)</f>
        <v>0.8646636506687648</v>
      </c>
      <c r="K4" s="72"/>
      <c r="L4" s="72"/>
      <c r="M4" s="72"/>
      <c r="N4" s="74">
        <f>SUM(K$16*J4+L$16*G4+M$16*E4)</f>
        <v>0.8943468710045034</v>
      </c>
      <c r="O4" s="72">
        <v>84.92</v>
      </c>
      <c r="P4" s="108">
        <f>SUM(O4*B4)</f>
        <v>431733.28</v>
      </c>
      <c r="Q4" s="72">
        <v>1933.71</v>
      </c>
      <c r="R4" s="108">
        <f>SUM(Q4*B4)</f>
        <v>9830981.64</v>
      </c>
      <c r="S4" s="72">
        <v>5.14</v>
      </c>
      <c r="T4" s="108">
        <f>SUM(S4*B4)</f>
        <v>26131.76</v>
      </c>
      <c r="U4" s="23">
        <f>SUM(0.2*O4*B$16/P$16+0.65*Q4*B$16/R$16+0.15*S4*B$16/T$16)</f>
        <v>0.7103749287938649</v>
      </c>
      <c r="V4" s="84">
        <f>SUM(C4/B4)</f>
        <v>1</v>
      </c>
      <c r="W4" s="23">
        <f>SUM((1+0.25*V4)/(1+0.25*V$16))</f>
        <v>1</v>
      </c>
      <c r="X4" s="21"/>
      <c r="Y4" s="21"/>
      <c r="Z4" s="23">
        <f>SUM(X$16*W4+Y$16*U4+1-X$16-Y$16)</f>
        <v>0.9822029416969229</v>
      </c>
      <c r="AA4" s="21">
        <f>SUM(Z4*N4*B4)</f>
        <v>4465.9387687085455</v>
      </c>
      <c r="AB4" s="23">
        <f>SUM(Z4*N4*B$16/AA$16)</f>
        <v>0.8772691911692979</v>
      </c>
      <c r="AC4" s="22">
        <f>SUM(НПn2016!N3)</f>
        <v>16484.78014289119</v>
      </c>
      <c r="AD4" s="23">
        <f>(AC4/B4)/(AC$16/B$16)</f>
        <v>1.8316669636684435</v>
      </c>
      <c r="AE4" s="23">
        <f>SUM(AD4/AB4)</f>
        <v>2.0879189444998567</v>
      </c>
      <c r="AF4" s="21">
        <f>SUM(ПНД!K5)</f>
        <v>11711.4</v>
      </c>
      <c r="AG4" s="31"/>
      <c r="AH4" s="22">
        <f aca="true" t="shared" si="1" ref="AH4:AH16">SUM(AF$16+AG$16)/AF$16</f>
        <v>9.269279396907734</v>
      </c>
      <c r="AI4" s="21">
        <f>SUM(AF$16/B$16)*(AH$16-AE4)*AB4*B4</f>
        <v>54968.64497866816</v>
      </c>
      <c r="AJ4" s="27">
        <f>SUM(AG$16*AI4/AI$16)</f>
        <v>54968.64497866817</v>
      </c>
      <c r="AK4" s="75"/>
      <c r="AL4" s="27">
        <f>SUM(AK$16*B4/B$16)</f>
        <v>8540.011700887198</v>
      </c>
      <c r="AM4" s="65">
        <f aca="true" t="shared" si="2" ref="AM4:AM15">SUM(AL4+AJ4)</f>
        <v>63508.656679555366</v>
      </c>
    </row>
    <row r="5" spans="1:39" s="76" customFormat="1" ht="18.75">
      <c r="A5" s="16" t="s">
        <v>2</v>
      </c>
      <c r="B5" s="77">
        <v>2000</v>
      </c>
      <c r="C5" s="77">
        <v>2000</v>
      </c>
      <c r="D5" s="77">
        <v>0</v>
      </c>
      <c r="E5" s="23">
        <f aca="true" t="shared" si="3" ref="E5:E16">(1+D5/B5)/(1+D$16/B$16)</f>
        <v>0.8405420377551455</v>
      </c>
      <c r="F5" s="72">
        <v>26.7</v>
      </c>
      <c r="G5" s="23">
        <f aca="true" t="shared" si="4" ref="G5:G16">(F5/B5)/(F$16/B$16)</f>
        <v>0.6268239704832183</v>
      </c>
      <c r="H5" s="73"/>
      <c r="I5" s="21"/>
      <c r="J5" s="23">
        <f t="shared" si="0"/>
        <v>0.964375</v>
      </c>
      <c r="K5" s="72"/>
      <c r="L5" s="72"/>
      <c r="M5" s="72"/>
      <c r="N5" s="74">
        <f aca="true" t="shared" si="5" ref="N5:N15">SUM(K$16*J5+L$16*G5+M$16*E5)</f>
        <v>0.9063722025462678</v>
      </c>
      <c r="O5" s="72">
        <v>113.07</v>
      </c>
      <c r="P5" s="108">
        <f aca="true" t="shared" si="6" ref="P5:P15">SUM(O5*B5)</f>
        <v>226140</v>
      </c>
      <c r="Q5" s="72">
        <v>0</v>
      </c>
      <c r="R5" s="108">
        <f aca="true" t="shared" si="7" ref="R5:R15">SUM(Q5*B5)</f>
        <v>0</v>
      </c>
      <c r="S5" s="72">
        <v>5.14</v>
      </c>
      <c r="T5" s="108">
        <f aca="true" t="shared" si="8" ref="T5:T15">SUM(S5*B5)</f>
        <v>10280</v>
      </c>
      <c r="U5" s="23">
        <f aca="true" t="shared" si="9" ref="U5:U15">SUM(0.2*O5*B$16/P$16+0.65*Q5*B$16/R$16+0.15*S5*B$16/T$16)</f>
        <v>0.3017499160074991</v>
      </c>
      <c r="V5" s="84">
        <f aca="true" t="shared" si="10" ref="V5:V16">SUM(C5/B5)</f>
        <v>1</v>
      </c>
      <c r="W5" s="23">
        <f aca="true" t="shared" si="11" ref="W5:W16">SUM((1+0.25*V5)/(1+0.25*V$16))</f>
        <v>1</v>
      </c>
      <c r="X5" s="21"/>
      <c r="Y5" s="21"/>
      <c r="Z5" s="23">
        <f aca="true" t="shared" si="12" ref="Z5:Z16">SUM(X$16*W5+Y$16*U5+1-X$16-Y$16)</f>
        <v>0.9570935022883487</v>
      </c>
      <c r="AA5" s="21">
        <f aca="true" t="shared" si="13" ref="AA5:AA15">SUM(Z5*N5*B5)</f>
        <v>1734.9658914236238</v>
      </c>
      <c r="AB5" s="23">
        <f aca="true" t="shared" si="14" ref="AB5:AB16">SUM(Z5*N5*B$16/AA$16)</f>
        <v>0.8663364771181608</v>
      </c>
      <c r="AC5" s="22">
        <f>SUM(НПn2016!N4)</f>
        <v>3414.0926015079353</v>
      </c>
      <c r="AD5" s="23">
        <f aca="true" t="shared" si="15" ref="AD5:AD16">(AC5/B5)/(AC$16/B$16)</f>
        <v>0.9643045052071288</v>
      </c>
      <c r="AE5" s="23">
        <f aca="true" t="shared" si="16" ref="AE5:AE16">SUM(AD5/AB5)</f>
        <v>1.1130831157137184</v>
      </c>
      <c r="AF5" s="21">
        <f>SUM(ПНД!K6)</f>
        <v>3962.7</v>
      </c>
      <c r="AG5" s="31"/>
      <c r="AH5" s="22">
        <f t="shared" si="1"/>
        <v>9.269279396907734</v>
      </c>
      <c r="AI5" s="21">
        <f aca="true" t="shared" si="17" ref="AI5:AI15">SUM(AF$16/B$16)*(AH$16-AE5)*AB5*B5</f>
        <v>24253.48498550954</v>
      </c>
      <c r="AJ5" s="27">
        <f aca="true" t="shared" si="18" ref="AJ5:AJ15">SUM(AG$16*AI5/AI$16)</f>
        <v>24253.484985509545</v>
      </c>
      <c r="AK5" s="75"/>
      <c r="AL5" s="27">
        <f aca="true" t="shared" si="19" ref="AL5:AL15">SUM(AK$16*B5/B$16)</f>
        <v>3359.564005069708</v>
      </c>
      <c r="AM5" s="65">
        <f t="shared" si="2"/>
        <v>27613.048990579253</v>
      </c>
    </row>
    <row r="6" spans="1:39" s="76" customFormat="1" ht="18.75">
      <c r="A6" s="16" t="s">
        <v>3</v>
      </c>
      <c r="B6" s="77">
        <v>1518</v>
      </c>
      <c r="C6" s="77">
        <v>1518</v>
      </c>
      <c r="D6" s="77">
        <v>91</v>
      </c>
      <c r="E6" s="23">
        <f t="shared" si="3"/>
        <v>0.8909302626798611</v>
      </c>
      <c r="F6" s="72">
        <v>37.1</v>
      </c>
      <c r="G6" s="23">
        <f t="shared" si="4"/>
        <v>1.1475363949671311</v>
      </c>
      <c r="H6" s="73"/>
      <c r="I6" s="21"/>
      <c r="J6" s="23">
        <f t="shared" si="0"/>
        <v>1.0165678524374178</v>
      </c>
      <c r="K6" s="72"/>
      <c r="L6" s="72"/>
      <c r="M6" s="72"/>
      <c r="N6" s="74">
        <f t="shared" si="5"/>
        <v>0.969797436841517</v>
      </c>
      <c r="O6" s="72">
        <v>325.81</v>
      </c>
      <c r="P6" s="108">
        <f t="shared" si="6"/>
        <v>494579.58</v>
      </c>
      <c r="Q6" s="72">
        <v>2773.04</v>
      </c>
      <c r="R6" s="108">
        <f t="shared" si="7"/>
        <v>4209474.72</v>
      </c>
      <c r="S6" s="72">
        <v>5.14</v>
      </c>
      <c r="T6" s="108">
        <f t="shared" si="8"/>
        <v>7802.5199999999995</v>
      </c>
      <c r="U6" s="23">
        <f t="shared" si="9"/>
        <v>1.2283755161105279</v>
      </c>
      <c r="V6" s="84">
        <f t="shared" si="10"/>
        <v>1</v>
      </c>
      <c r="W6" s="23">
        <f t="shared" si="11"/>
        <v>1</v>
      </c>
      <c r="X6" s="21"/>
      <c r="Y6" s="21"/>
      <c r="Z6" s="23">
        <f t="shared" si="12"/>
        <v>1.0140333582251295</v>
      </c>
      <c r="AA6" s="21">
        <f t="shared" si="13"/>
        <v>1492.8117526480032</v>
      </c>
      <c r="AB6" s="23">
        <f t="shared" si="14"/>
        <v>0.9821072774999723</v>
      </c>
      <c r="AC6" s="22">
        <f>SUM(НПn2016!N5)</f>
        <v>2191.549337770692</v>
      </c>
      <c r="AD6" s="23">
        <f t="shared" si="15"/>
        <v>0.8155458379655882</v>
      </c>
      <c r="AE6" s="23">
        <f t="shared" si="16"/>
        <v>0.8304040267796623</v>
      </c>
      <c r="AF6" s="21">
        <f>SUM(ПНД!K7)</f>
        <v>3327.7000000000003</v>
      </c>
      <c r="AG6" s="31"/>
      <c r="AH6" s="22">
        <f t="shared" si="1"/>
        <v>9.269279396907734</v>
      </c>
      <c r="AI6" s="21">
        <f t="shared" si="17"/>
        <v>21591.61660347412</v>
      </c>
      <c r="AJ6" s="27">
        <f t="shared" si="18"/>
        <v>21591.616603474125</v>
      </c>
      <c r="AK6" s="75"/>
      <c r="AL6" s="27">
        <f t="shared" si="19"/>
        <v>2549.9090798479083</v>
      </c>
      <c r="AM6" s="65">
        <f t="shared" si="2"/>
        <v>24141.525683322034</v>
      </c>
    </row>
    <row r="7" spans="1:39" s="76" customFormat="1" ht="18.75">
      <c r="A7" s="16" t="s">
        <v>4</v>
      </c>
      <c r="B7" s="77">
        <v>759</v>
      </c>
      <c r="C7" s="77">
        <v>759</v>
      </c>
      <c r="D7" s="77">
        <v>51</v>
      </c>
      <c r="E7" s="23">
        <f t="shared" si="3"/>
        <v>0.8970211470114201</v>
      </c>
      <c r="F7" s="72">
        <v>20.4</v>
      </c>
      <c r="G7" s="23">
        <f t="shared" si="4"/>
        <v>1.261980725462505</v>
      </c>
      <c r="H7" s="73"/>
      <c r="I7" s="21"/>
      <c r="J7" s="23">
        <f t="shared" si="0"/>
        <v>1.2331357048748353</v>
      </c>
      <c r="K7" s="72"/>
      <c r="L7" s="72"/>
      <c r="M7" s="72"/>
      <c r="N7" s="74">
        <f t="shared" si="5"/>
        <v>1.099809758832591</v>
      </c>
      <c r="O7" s="72">
        <v>325.81</v>
      </c>
      <c r="P7" s="108">
        <f t="shared" si="6"/>
        <v>247289.79</v>
      </c>
      <c r="Q7" s="72">
        <v>3468.39</v>
      </c>
      <c r="R7" s="108">
        <f t="shared" si="7"/>
        <v>2632508.01</v>
      </c>
      <c r="S7" s="72">
        <v>5.23</v>
      </c>
      <c r="T7" s="108">
        <f t="shared" si="8"/>
        <v>3969.57</v>
      </c>
      <c r="U7" s="23">
        <f t="shared" si="9"/>
        <v>1.3915566550920118</v>
      </c>
      <c r="V7" s="84">
        <f t="shared" si="10"/>
        <v>1</v>
      </c>
      <c r="W7" s="23">
        <f t="shared" si="11"/>
        <v>1</v>
      </c>
      <c r="X7" s="21"/>
      <c r="Y7" s="21"/>
      <c r="Z7" s="23">
        <f t="shared" si="12"/>
        <v>1.0240606125381684</v>
      </c>
      <c r="AA7" s="21">
        <f t="shared" si="13"/>
        <v>854.8403381769189</v>
      </c>
      <c r="AB7" s="23">
        <f t="shared" si="14"/>
        <v>1.1247833703544663</v>
      </c>
      <c r="AC7" s="22">
        <f>SUM(НПn2016!N6)</f>
        <v>633.4767781612237</v>
      </c>
      <c r="AD7" s="23">
        <f t="shared" si="15"/>
        <v>0.47147407632881916</v>
      </c>
      <c r="AE7" s="23">
        <f t="shared" si="16"/>
        <v>0.4191687828565939</v>
      </c>
      <c r="AF7" s="21">
        <f>SUM(ПНД!K13)</f>
        <v>976.5</v>
      </c>
      <c r="AG7" s="31"/>
      <c r="AH7" s="22">
        <f t="shared" si="1"/>
        <v>9.269279396907734</v>
      </c>
      <c r="AI7" s="21">
        <f t="shared" si="17"/>
        <v>12966.693568898967</v>
      </c>
      <c r="AJ7" s="27">
        <f t="shared" si="18"/>
        <v>12966.69356889897</v>
      </c>
      <c r="AK7" s="75"/>
      <c r="AL7" s="27">
        <f t="shared" si="19"/>
        <v>1274.9545399239541</v>
      </c>
      <c r="AM7" s="65">
        <f t="shared" si="2"/>
        <v>14241.648108822925</v>
      </c>
    </row>
    <row r="8" spans="1:39" s="76" customFormat="1" ht="18.75">
      <c r="A8" s="16" t="s">
        <v>81</v>
      </c>
      <c r="B8" s="77">
        <v>909</v>
      </c>
      <c r="C8" s="77">
        <v>909</v>
      </c>
      <c r="D8" s="77">
        <v>347</v>
      </c>
      <c r="E8" s="23">
        <f t="shared" si="3"/>
        <v>1.1614090202645355</v>
      </c>
      <c r="F8" s="72">
        <v>22.8</v>
      </c>
      <c r="G8" s="23">
        <f t="shared" si="4"/>
        <v>1.1777016787610683</v>
      </c>
      <c r="H8" s="73"/>
      <c r="I8" s="21"/>
      <c r="J8" s="23">
        <f t="shared" si="0"/>
        <v>1.1616611661166116</v>
      </c>
      <c r="K8" s="72"/>
      <c r="L8" s="72"/>
      <c r="M8" s="72"/>
      <c r="N8" s="74">
        <f t="shared" si="5"/>
        <v>1.1619697974455574</v>
      </c>
      <c r="O8" s="72">
        <v>206.78</v>
      </c>
      <c r="P8" s="108">
        <f t="shared" si="6"/>
        <v>187963.02</v>
      </c>
      <c r="Q8" s="72">
        <v>4379.49</v>
      </c>
      <c r="R8" s="108">
        <f t="shared" si="7"/>
        <v>3980956.4099999997</v>
      </c>
      <c r="S8" s="72">
        <v>5.23</v>
      </c>
      <c r="T8" s="108">
        <f t="shared" si="8"/>
        <v>4754.070000000001</v>
      </c>
      <c r="U8" s="23">
        <f t="shared" si="9"/>
        <v>1.4417452977510312</v>
      </c>
      <c r="V8" s="84">
        <f t="shared" si="10"/>
        <v>1</v>
      </c>
      <c r="W8" s="23">
        <f t="shared" si="11"/>
        <v>1</v>
      </c>
      <c r="X8" s="21"/>
      <c r="Y8" s="21"/>
      <c r="Z8" s="23">
        <f t="shared" si="12"/>
        <v>1.0271446349117672</v>
      </c>
      <c r="AA8" s="21">
        <f t="shared" si="13"/>
        <v>1084.901538428527</v>
      </c>
      <c r="AB8" s="23">
        <f t="shared" si="14"/>
        <v>1.1919336948708619</v>
      </c>
      <c r="AC8" s="22">
        <f>SUM(НПn2016!N7)</f>
        <v>1422.2495877865786</v>
      </c>
      <c r="AD8" s="23">
        <f t="shared" si="15"/>
        <v>0.8838546036750735</v>
      </c>
      <c r="AE8" s="23">
        <f t="shared" si="16"/>
        <v>0.741530009159472</v>
      </c>
      <c r="AF8" s="21">
        <f>SUM(ПНД!K9)</f>
        <v>1847.2</v>
      </c>
      <c r="AG8" s="31"/>
      <c r="AH8" s="22">
        <f t="shared" si="1"/>
        <v>9.269279396907734</v>
      </c>
      <c r="AI8" s="21">
        <f t="shared" si="17"/>
        <v>15856.973314373163</v>
      </c>
      <c r="AJ8" s="27">
        <f t="shared" si="18"/>
        <v>15856.973314373166</v>
      </c>
      <c r="AK8" s="75"/>
      <c r="AL8" s="27">
        <f t="shared" si="19"/>
        <v>1526.9218403041823</v>
      </c>
      <c r="AM8" s="65">
        <f t="shared" si="2"/>
        <v>17383.89515467735</v>
      </c>
    </row>
    <row r="9" spans="1:39" s="76" customFormat="1" ht="18.75">
      <c r="A9" s="16" t="s">
        <v>6</v>
      </c>
      <c r="B9" s="77">
        <v>1837</v>
      </c>
      <c r="C9" s="77">
        <v>1837</v>
      </c>
      <c r="D9" s="77">
        <v>645</v>
      </c>
      <c r="E9" s="23">
        <f t="shared" si="3"/>
        <v>1.1356697537878448</v>
      </c>
      <c r="F9" s="72">
        <v>28.6</v>
      </c>
      <c r="G9" s="23">
        <f t="shared" si="4"/>
        <v>0.7310064469965093</v>
      </c>
      <c r="H9" s="73"/>
      <c r="I9" s="21"/>
      <c r="J9" s="23">
        <f t="shared" si="0"/>
        <v>0.9789602612955907</v>
      </c>
      <c r="K9" s="72"/>
      <c r="L9" s="72"/>
      <c r="M9" s="72"/>
      <c r="N9" s="74">
        <f t="shared" si="5"/>
        <v>1.035139583546247</v>
      </c>
      <c r="O9" s="72">
        <v>113.07</v>
      </c>
      <c r="P9" s="108">
        <f t="shared" si="6"/>
        <v>207709.59</v>
      </c>
      <c r="Q9" s="72">
        <v>3389.08</v>
      </c>
      <c r="R9" s="108">
        <f t="shared" si="7"/>
        <v>6225739.96</v>
      </c>
      <c r="S9" s="72">
        <v>5.14</v>
      </c>
      <c r="T9" s="108">
        <f t="shared" si="8"/>
        <v>9442.18</v>
      </c>
      <c r="U9" s="23">
        <f t="shared" si="9"/>
        <v>1.084316439510176</v>
      </c>
      <c r="V9" s="84">
        <f t="shared" si="10"/>
        <v>1</v>
      </c>
      <c r="W9" s="23">
        <f t="shared" si="11"/>
        <v>1</v>
      </c>
      <c r="X9" s="21"/>
      <c r="Y9" s="21"/>
      <c r="Z9" s="23">
        <f t="shared" si="12"/>
        <v>1.0051811280826668</v>
      </c>
      <c r="AA9" s="21">
        <f t="shared" si="13"/>
        <v>1911.4035964112143</v>
      </c>
      <c r="AB9" s="23">
        <f t="shared" si="14"/>
        <v>1.039127642088111</v>
      </c>
      <c r="AC9" s="22">
        <f>SUM(НПn2016!N8)</f>
        <v>1598.0090086852194</v>
      </c>
      <c r="AD9" s="23">
        <f t="shared" si="15"/>
        <v>0.49140431082112257</v>
      </c>
      <c r="AE9" s="23">
        <f t="shared" si="16"/>
        <v>0.4729008169137462</v>
      </c>
      <c r="AF9" s="21">
        <f>SUM(ПНД!K14)</f>
        <v>1729.1</v>
      </c>
      <c r="AG9" s="31"/>
      <c r="AH9" s="22">
        <f t="shared" si="1"/>
        <v>9.269279396907734</v>
      </c>
      <c r="AI9" s="21">
        <f t="shared" si="17"/>
        <v>28817.20476988784</v>
      </c>
      <c r="AJ9" s="27">
        <f t="shared" si="18"/>
        <v>28817.20476988785</v>
      </c>
      <c r="AK9" s="75"/>
      <c r="AL9" s="27">
        <f t="shared" si="19"/>
        <v>3085.7595386565267</v>
      </c>
      <c r="AM9" s="65">
        <f t="shared" si="2"/>
        <v>31902.964308544375</v>
      </c>
    </row>
    <row r="10" spans="1:39" s="76" customFormat="1" ht="18.75">
      <c r="A10" s="16" t="s">
        <v>14</v>
      </c>
      <c r="B10" s="77">
        <v>3253</v>
      </c>
      <c r="C10" s="77">
        <v>3253</v>
      </c>
      <c r="D10" s="77">
        <v>914</v>
      </c>
      <c r="E10" s="23">
        <f t="shared" si="3"/>
        <v>1.0767103201124166</v>
      </c>
      <c r="F10" s="72">
        <v>70.5</v>
      </c>
      <c r="G10" s="23">
        <f t="shared" si="4"/>
        <v>1.0175819248165483</v>
      </c>
      <c r="H10" s="73"/>
      <c r="I10" s="21"/>
      <c r="J10" s="23">
        <f t="shared" si="0"/>
        <v>0.9010605594835537</v>
      </c>
      <c r="K10" s="72"/>
      <c r="L10" s="72"/>
      <c r="M10" s="72"/>
      <c r="N10" s="74">
        <f t="shared" si="5"/>
        <v>0.9740922948549013</v>
      </c>
      <c r="O10" s="72">
        <v>206.78</v>
      </c>
      <c r="P10" s="108">
        <f t="shared" si="6"/>
        <v>672655.34</v>
      </c>
      <c r="Q10" s="72">
        <v>3164.88</v>
      </c>
      <c r="R10" s="108">
        <f t="shared" si="7"/>
        <v>10295354.64</v>
      </c>
      <c r="S10" s="72">
        <v>5.14</v>
      </c>
      <c r="T10" s="108">
        <f t="shared" si="8"/>
        <v>16720.42</v>
      </c>
      <c r="U10" s="23">
        <f t="shared" si="9"/>
        <v>1.1586627421626805</v>
      </c>
      <c r="V10" s="84">
        <f t="shared" si="10"/>
        <v>1</v>
      </c>
      <c r="W10" s="23">
        <f t="shared" si="11"/>
        <v>1</v>
      </c>
      <c r="X10" s="21"/>
      <c r="Y10" s="21"/>
      <c r="Z10" s="23">
        <f t="shared" si="12"/>
        <v>1.0097496051050965</v>
      </c>
      <c r="AA10" s="21">
        <f t="shared" si="13"/>
        <v>3199.616025643572</v>
      </c>
      <c r="AB10" s="23">
        <f t="shared" si="14"/>
        <v>0.9822893948815968</v>
      </c>
      <c r="AC10" s="22">
        <f>SUM(НПn2016!N9)</f>
        <v>3617.115862616894</v>
      </c>
      <c r="AD10" s="23">
        <f t="shared" si="15"/>
        <v>0.6281266962667857</v>
      </c>
      <c r="AE10" s="23">
        <f t="shared" si="16"/>
        <v>0.6394517741306764</v>
      </c>
      <c r="AF10" s="21">
        <f>SUM(ПНД!K12)</f>
        <v>4230</v>
      </c>
      <c r="AG10" s="31"/>
      <c r="AH10" s="22">
        <f t="shared" si="1"/>
        <v>9.269279396907734</v>
      </c>
      <c r="AI10" s="21">
        <f t="shared" si="17"/>
        <v>47325.53428635971</v>
      </c>
      <c r="AJ10" s="27">
        <f t="shared" si="18"/>
        <v>47325.53428635972</v>
      </c>
      <c r="AK10" s="75"/>
      <c r="AL10" s="27">
        <f t="shared" si="19"/>
        <v>5464.330854245881</v>
      </c>
      <c r="AM10" s="65">
        <f t="shared" si="2"/>
        <v>52789.8651406056</v>
      </c>
    </row>
    <row r="11" spans="1:39" s="76" customFormat="1" ht="18.75">
      <c r="A11" s="16" t="s">
        <v>7</v>
      </c>
      <c r="B11" s="77">
        <v>904</v>
      </c>
      <c r="C11" s="77">
        <v>904</v>
      </c>
      <c r="D11" s="77">
        <v>259</v>
      </c>
      <c r="E11" s="23">
        <f t="shared" si="3"/>
        <v>1.081361050784551</v>
      </c>
      <c r="F11" s="72">
        <v>17</v>
      </c>
      <c r="G11" s="23">
        <f t="shared" si="4"/>
        <v>0.8829677089104365</v>
      </c>
      <c r="H11" s="73"/>
      <c r="I11" s="21"/>
      <c r="J11" s="23">
        <f t="shared" si="0"/>
        <v>1.1636615044247787</v>
      </c>
      <c r="K11" s="72"/>
      <c r="L11" s="72"/>
      <c r="M11" s="72"/>
      <c r="N11" s="74">
        <f t="shared" si="5"/>
        <v>1.123674714412612</v>
      </c>
      <c r="O11" s="72">
        <v>113.07</v>
      </c>
      <c r="P11" s="108">
        <f t="shared" si="6"/>
        <v>102215.28</v>
      </c>
      <c r="Q11" s="72">
        <v>3788.12</v>
      </c>
      <c r="R11" s="108">
        <f t="shared" si="7"/>
        <v>3424460.48</v>
      </c>
      <c r="S11" s="72">
        <v>5.05</v>
      </c>
      <c r="T11" s="108">
        <f t="shared" si="8"/>
        <v>4565.2</v>
      </c>
      <c r="U11" s="23">
        <f t="shared" si="9"/>
        <v>1.1738389775313283</v>
      </c>
      <c r="V11" s="84">
        <f t="shared" si="10"/>
        <v>1</v>
      </c>
      <c r="W11" s="23">
        <f t="shared" si="11"/>
        <v>1</v>
      </c>
      <c r="X11" s="21"/>
      <c r="Y11" s="21"/>
      <c r="Z11" s="23">
        <f t="shared" si="12"/>
        <v>1.0106821636869632</v>
      </c>
      <c r="AA11" s="21">
        <f t="shared" si="13"/>
        <v>1026.6529044451538</v>
      </c>
      <c r="AB11" s="23">
        <f t="shared" si="14"/>
        <v>1.134177075508027</v>
      </c>
      <c r="AC11" s="22">
        <f>SUM(НПn2016!N10)</f>
        <v>664.5341652671927</v>
      </c>
      <c r="AD11" s="23">
        <f t="shared" si="15"/>
        <v>0.4152577805928738</v>
      </c>
      <c r="AE11" s="23">
        <f t="shared" si="16"/>
        <v>0.3661313471768676</v>
      </c>
      <c r="AF11" s="21">
        <f>SUM(ПНД!K10)</f>
        <v>812.4</v>
      </c>
      <c r="AG11" s="31"/>
      <c r="AH11" s="22">
        <f t="shared" si="1"/>
        <v>9.269279396907734</v>
      </c>
      <c r="AI11" s="21">
        <f t="shared" si="17"/>
        <v>15666.167902819803</v>
      </c>
      <c r="AJ11" s="27">
        <f t="shared" si="18"/>
        <v>15666.167902819807</v>
      </c>
      <c r="AK11" s="75"/>
      <c r="AL11" s="27">
        <f t="shared" si="19"/>
        <v>1518.5229302915081</v>
      </c>
      <c r="AM11" s="65">
        <f t="shared" si="2"/>
        <v>17184.690833111315</v>
      </c>
    </row>
    <row r="12" spans="1:39" s="76" customFormat="1" ht="18.75">
      <c r="A12" s="16" t="s">
        <v>80</v>
      </c>
      <c r="B12" s="77">
        <v>1055</v>
      </c>
      <c r="C12" s="77">
        <v>1055</v>
      </c>
      <c r="D12" s="77">
        <v>328</v>
      </c>
      <c r="E12" s="23">
        <f t="shared" si="3"/>
        <v>1.1018669556543756</v>
      </c>
      <c r="F12" s="72">
        <v>17.4</v>
      </c>
      <c r="G12" s="23">
        <f t="shared" si="4"/>
        <v>0.7743924657974686</v>
      </c>
      <c r="H12" s="73"/>
      <c r="I12" s="21"/>
      <c r="J12" s="23">
        <f t="shared" si="0"/>
        <v>1.111611374407583</v>
      </c>
      <c r="K12" s="72"/>
      <c r="L12" s="72"/>
      <c r="M12" s="72"/>
      <c r="N12" s="74">
        <f t="shared" si="5"/>
        <v>1.099122115611775</v>
      </c>
      <c r="O12" s="72">
        <v>113.07</v>
      </c>
      <c r="P12" s="108">
        <f t="shared" si="6"/>
        <v>119288.84999999999</v>
      </c>
      <c r="Q12" s="72">
        <v>5248.09</v>
      </c>
      <c r="R12" s="108">
        <f t="shared" si="7"/>
        <v>5536734.95</v>
      </c>
      <c r="S12" s="72">
        <v>5.14</v>
      </c>
      <c r="T12" s="108">
        <f t="shared" si="8"/>
        <v>5422.7</v>
      </c>
      <c r="U12" s="23">
        <f t="shared" si="9"/>
        <v>1.5135771807310123</v>
      </c>
      <c r="V12" s="84">
        <f t="shared" si="10"/>
        <v>1</v>
      </c>
      <c r="W12" s="23">
        <f t="shared" si="11"/>
        <v>1</v>
      </c>
      <c r="X12" s="21"/>
      <c r="Y12" s="21"/>
      <c r="Z12" s="23">
        <f t="shared" si="12"/>
        <v>1.0315586043381388</v>
      </c>
      <c r="AA12" s="21">
        <f t="shared" si="13"/>
        <v>1196.1683637344368</v>
      </c>
      <c r="AB12" s="23">
        <f t="shared" si="14"/>
        <v>1.1323104296733644</v>
      </c>
      <c r="AC12" s="22">
        <f>SUM(НПn2016!N11)</f>
        <v>676.8728411922901</v>
      </c>
      <c r="AD12" s="23">
        <f t="shared" si="15"/>
        <v>0.36242948689886006</v>
      </c>
      <c r="AE12" s="23">
        <f t="shared" si="16"/>
        <v>0.3200796154491039</v>
      </c>
      <c r="AF12" s="21">
        <f>SUM(ПНД!K15)</f>
        <v>930</v>
      </c>
      <c r="AG12" s="31"/>
      <c r="AH12" s="22">
        <f t="shared" si="1"/>
        <v>9.269279396907734</v>
      </c>
      <c r="AI12" s="21">
        <f t="shared" si="17"/>
        <v>18347.2955432617</v>
      </c>
      <c r="AJ12" s="27">
        <f t="shared" si="18"/>
        <v>18347.295543261702</v>
      </c>
      <c r="AK12" s="75"/>
      <c r="AL12" s="27">
        <f t="shared" si="19"/>
        <v>1772.1700126742712</v>
      </c>
      <c r="AM12" s="65">
        <f t="shared" si="2"/>
        <v>20119.465555935974</v>
      </c>
    </row>
    <row r="13" spans="1:39" s="76" customFormat="1" ht="18.75">
      <c r="A13" s="16" t="s">
        <v>9</v>
      </c>
      <c r="B13" s="77">
        <v>1304</v>
      </c>
      <c r="C13" s="77">
        <v>1304</v>
      </c>
      <c r="D13" s="77">
        <v>364</v>
      </c>
      <c r="E13" s="23">
        <f t="shared" si="3"/>
        <v>1.075171870380048</v>
      </c>
      <c r="F13" s="72">
        <v>32.5</v>
      </c>
      <c r="G13" s="23">
        <f t="shared" si="4"/>
        <v>1.1702269617371266</v>
      </c>
      <c r="H13" s="73"/>
      <c r="I13" s="21"/>
      <c r="J13" s="23">
        <f t="shared" si="0"/>
        <v>1.0521088957055214</v>
      </c>
      <c r="K13" s="72"/>
      <c r="L13" s="72"/>
      <c r="M13" s="72"/>
      <c r="N13" s="74">
        <f t="shared" si="5"/>
        <v>1.0643209866273373</v>
      </c>
      <c r="O13" s="72">
        <v>113.07</v>
      </c>
      <c r="P13" s="108">
        <f t="shared" si="6"/>
        <v>147443.28</v>
      </c>
      <c r="Q13" s="72">
        <v>3788.12</v>
      </c>
      <c r="R13" s="108">
        <f t="shared" si="7"/>
        <v>4939708.4799999995</v>
      </c>
      <c r="S13" s="72">
        <v>5.23</v>
      </c>
      <c r="T13" s="108">
        <f t="shared" si="8"/>
        <v>6819.920000000001</v>
      </c>
      <c r="U13" s="23">
        <f t="shared" si="9"/>
        <v>1.179077155669219</v>
      </c>
      <c r="V13" s="84">
        <f t="shared" si="10"/>
        <v>1</v>
      </c>
      <c r="W13" s="23">
        <f t="shared" si="11"/>
        <v>1</v>
      </c>
      <c r="X13" s="21"/>
      <c r="Y13" s="21"/>
      <c r="Z13" s="23">
        <f t="shared" si="12"/>
        <v>1.0110040424571045</v>
      </c>
      <c r="AA13" s="21">
        <f t="shared" si="13"/>
        <v>1403.146797217632</v>
      </c>
      <c r="AB13" s="23">
        <f t="shared" si="14"/>
        <v>1.0746107310916226</v>
      </c>
      <c r="AC13" s="22">
        <f>SUM(НПn2016!N12)</f>
        <v>3015.6299856235787</v>
      </c>
      <c r="AD13" s="23">
        <f t="shared" si="15"/>
        <v>1.306379499681283</v>
      </c>
      <c r="AE13" s="23">
        <f t="shared" si="16"/>
        <v>1.215676953415701</v>
      </c>
      <c r="AF13" s="21">
        <f>SUM(ПНД!K11)</f>
        <v>2816.6</v>
      </c>
      <c r="AG13" s="31"/>
      <c r="AH13" s="22">
        <f t="shared" si="1"/>
        <v>9.269279396907734</v>
      </c>
      <c r="AI13" s="21">
        <f t="shared" si="17"/>
        <v>19368.181134714265</v>
      </c>
      <c r="AJ13" s="27">
        <f t="shared" si="18"/>
        <v>19368.18113471427</v>
      </c>
      <c r="AK13" s="75"/>
      <c r="AL13" s="27">
        <f t="shared" si="19"/>
        <v>2190.4357313054497</v>
      </c>
      <c r="AM13" s="65">
        <f t="shared" si="2"/>
        <v>21558.616866019718</v>
      </c>
    </row>
    <row r="14" spans="1:39" s="76" customFormat="1" ht="18.75">
      <c r="A14" s="16" t="s">
        <v>10</v>
      </c>
      <c r="B14" s="77">
        <v>834</v>
      </c>
      <c r="C14" s="77">
        <v>834</v>
      </c>
      <c r="D14" s="77">
        <v>0</v>
      </c>
      <c r="E14" s="23">
        <f t="shared" si="3"/>
        <v>0.8405420377551455</v>
      </c>
      <c r="F14" s="72">
        <v>14</v>
      </c>
      <c r="G14" s="23">
        <f t="shared" si="4"/>
        <v>0.7881816422605786</v>
      </c>
      <c r="H14" s="73"/>
      <c r="I14" s="21"/>
      <c r="J14" s="23">
        <f t="shared" si="0"/>
        <v>1.1941846522781774</v>
      </c>
      <c r="K14" s="72"/>
      <c r="L14" s="72"/>
      <c r="M14" s="72"/>
      <c r="N14" s="74">
        <f t="shared" si="5"/>
        <v>1.0427743172076571</v>
      </c>
      <c r="O14" s="72">
        <v>113.07</v>
      </c>
      <c r="P14" s="108">
        <f t="shared" si="6"/>
        <v>94300.37999999999</v>
      </c>
      <c r="Q14" s="72">
        <v>4379.49</v>
      </c>
      <c r="R14" s="108">
        <f t="shared" si="7"/>
        <v>3652494.6599999997</v>
      </c>
      <c r="S14" s="72">
        <v>5.23</v>
      </c>
      <c r="T14" s="108">
        <f t="shared" si="8"/>
        <v>4361.820000000001</v>
      </c>
      <c r="U14" s="23">
        <f t="shared" si="9"/>
        <v>1.3156293660047018</v>
      </c>
      <c r="V14" s="84">
        <f t="shared" si="10"/>
        <v>1</v>
      </c>
      <c r="W14" s="23">
        <f t="shared" si="11"/>
        <v>1</v>
      </c>
      <c r="X14" s="21"/>
      <c r="Y14" s="21"/>
      <c r="Z14" s="23">
        <f t="shared" si="12"/>
        <v>1.0193949860954918</v>
      </c>
      <c r="AA14" s="21">
        <f t="shared" si="13"/>
        <v>886.5410914325902</v>
      </c>
      <c r="AB14" s="23">
        <f t="shared" si="14"/>
        <v>1.061594047391766</v>
      </c>
      <c r="AC14" s="22">
        <f>SUM(НПn2016!N13)</f>
        <v>850.4890165669472</v>
      </c>
      <c r="AD14" s="23">
        <f t="shared" si="15"/>
        <v>0.5760650851199834</v>
      </c>
      <c r="AE14" s="23">
        <f t="shared" si="16"/>
        <v>0.5426415931168036</v>
      </c>
      <c r="AF14" s="21">
        <f>SUM(ПНД!K8)</f>
        <v>1121</v>
      </c>
      <c r="AG14" s="31"/>
      <c r="AH14" s="22">
        <f t="shared" si="1"/>
        <v>9.269279396907734</v>
      </c>
      <c r="AI14" s="21">
        <f t="shared" si="17"/>
        <v>13259.934004315039</v>
      </c>
      <c r="AJ14" s="27">
        <f t="shared" si="18"/>
        <v>13259.93400431504</v>
      </c>
      <c r="AK14" s="75"/>
      <c r="AL14" s="27">
        <f t="shared" si="19"/>
        <v>1400.9381901140682</v>
      </c>
      <c r="AM14" s="65">
        <f t="shared" si="2"/>
        <v>14660.872194429108</v>
      </c>
    </row>
    <row r="15" spans="1:39" s="76" customFormat="1" ht="18.75">
      <c r="A15" s="16" t="s">
        <v>11</v>
      </c>
      <c r="B15" s="77">
        <v>268</v>
      </c>
      <c r="C15" s="77">
        <v>268</v>
      </c>
      <c r="D15" s="77">
        <v>268</v>
      </c>
      <c r="E15" s="23">
        <f t="shared" si="3"/>
        <v>1.681084075510291</v>
      </c>
      <c r="F15" s="72">
        <v>5.6</v>
      </c>
      <c r="G15" s="23">
        <f t="shared" si="4"/>
        <v>0.9811096860377947</v>
      </c>
      <c r="H15" s="73"/>
      <c r="I15" s="21"/>
      <c r="J15" s="23">
        <f t="shared" si="0"/>
        <v>2.026679104477612</v>
      </c>
      <c r="K15" s="72"/>
      <c r="L15" s="72"/>
      <c r="M15" s="72"/>
      <c r="N15" s="74">
        <f t="shared" si="5"/>
        <v>1.8621629466906202</v>
      </c>
      <c r="O15" s="72">
        <v>0</v>
      </c>
      <c r="P15" s="108">
        <f t="shared" si="6"/>
        <v>0</v>
      </c>
      <c r="Q15" s="72">
        <v>2973.46</v>
      </c>
      <c r="R15" s="108">
        <f t="shared" si="7"/>
        <v>796887.28</v>
      </c>
      <c r="S15" s="72">
        <v>5.23</v>
      </c>
      <c r="T15" s="108">
        <f t="shared" si="8"/>
        <v>1401.64</v>
      </c>
      <c r="U15" s="23">
        <f t="shared" si="9"/>
        <v>0.8387946135640905</v>
      </c>
      <c r="V15" s="84">
        <f t="shared" si="10"/>
        <v>1</v>
      </c>
      <c r="W15" s="23">
        <f t="shared" si="11"/>
        <v>1</v>
      </c>
      <c r="X15" s="21"/>
      <c r="Y15" s="21"/>
      <c r="Z15" s="23">
        <f t="shared" si="12"/>
        <v>0.990094152936339</v>
      </c>
      <c r="AA15" s="21">
        <f t="shared" si="13"/>
        <v>494.11606094926714</v>
      </c>
      <c r="AB15" s="23">
        <f t="shared" si="14"/>
        <v>1.8412799827567035</v>
      </c>
      <c r="AC15" s="22">
        <f>SUM(НПn2016!N14)</f>
        <v>349.1006719302606</v>
      </c>
      <c r="AD15" s="23">
        <f t="shared" si="15"/>
        <v>0.7358423609941227</v>
      </c>
      <c r="AE15" s="23">
        <f t="shared" si="16"/>
        <v>0.39963632249585634</v>
      </c>
      <c r="AF15" s="21">
        <f>SUM(ПНД!K16)</f>
        <v>387.6</v>
      </c>
      <c r="AG15" s="31"/>
      <c r="AH15" s="22">
        <f t="shared" si="1"/>
        <v>9.269279396907734</v>
      </c>
      <c r="AI15" s="21">
        <f t="shared" si="17"/>
        <v>7511.568907717658</v>
      </c>
      <c r="AJ15" s="27">
        <f t="shared" si="18"/>
        <v>7511.568907717659</v>
      </c>
      <c r="AK15" s="75"/>
      <c r="AL15" s="27">
        <f t="shared" si="19"/>
        <v>450.18157667934094</v>
      </c>
      <c r="AM15" s="65">
        <f t="shared" si="2"/>
        <v>7961.750484397</v>
      </c>
    </row>
    <row r="16" spans="1:39" s="81" customFormat="1" ht="18.75">
      <c r="A16" s="16" t="s">
        <v>12</v>
      </c>
      <c r="B16" s="78">
        <f>SUM(B4:B15)</f>
        <v>19725</v>
      </c>
      <c r="C16" s="78">
        <f>SUM(C4:C15)</f>
        <v>19725</v>
      </c>
      <c r="D16" s="78">
        <f>SUM(D4:D15)</f>
        <v>3742</v>
      </c>
      <c r="E16" s="79">
        <f t="shared" si="3"/>
        <v>1</v>
      </c>
      <c r="F16" s="80">
        <f>SUM(F4:F15)</f>
        <v>420.1</v>
      </c>
      <c r="G16" s="79">
        <f t="shared" si="4"/>
        <v>1</v>
      </c>
      <c r="H16" s="78">
        <f>B16/12</f>
        <v>1643.75</v>
      </c>
      <c r="I16" s="105">
        <v>0.8</v>
      </c>
      <c r="J16" s="79">
        <f t="shared" si="0"/>
        <v>0.8166666666666667</v>
      </c>
      <c r="K16" s="80">
        <f>SUM('а1 а2 а3'!O16)</f>
        <v>0.5756320399065683</v>
      </c>
      <c r="L16" s="80">
        <f>SUM('а1 а2 а3'!O30)</f>
        <v>0.025510505233135566</v>
      </c>
      <c r="M16" s="80">
        <f>SUM('а1 а2 а3'!O35)</f>
        <v>0.39885745486029595</v>
      </c>
      <c r="N16" s="74">
        <f>SUM(K$16*J16+L$16*G16+M$16*E16)</f>
        <v>0.8944674593504622</v>
      </c>
      <c r="O16" s="80"/>
      <c r="P16" s="61">
        <f>SUM(P4:P15)</f>
        <v>2931318.3899999997</v>
      </c>
      <c r="Q16" s="80"/>
      <c r="R16" s="61">
        <f>SUM(R4:R15)</f>
        <v>55525301.22999999</v>
      </c>
      <c r="S16" s="80"/>
      <c r="T16" s="61">
        <f>SUM(T4:T15)</f>
        <v>101671.79999999999</v>
      </c>
      <c r="U16" s="79"/>
      <c r="V16" s="85">
        <f t="shared" si="10"/>
        <v>1</v>
      </c>
      <c r="W16" s="79">
        <f t="shared" si="11"/>
        <v>1</v>
      </c>
      <c r="X16" s="80">
        <f>SUM('q1q2'!O25)</f>
        <v>0.5133676318115385</v>
      </c>
      <c r="Y16" s="80">
        <f>SUM('q1q2'!O26)</f>
        <v>0.061448610884967836</v>
      </c>
      <c r="Z16" s="79">
        <f t="shared" si="12"/>
        <v>0.9385513891150321</v>
      </c>
      <c r="AA16" s="24">
        <f>SUM(AA4:AA15)</f>
        <v>19751.103129219486</v>
      </c>
      <c r="AB16" s="79">
        <f t="shared" si="14"/>
        <v>0.8383941854011572</v>
      </c>
      <c r="AC16" s="25">
        <f>SUM(AC4:AC15)</f>
        <v>34917.90000000001</v>
      </c>
      <c r="AD16" s="23">
        <f t="shared" si="15"/>
        <v>1</v>
      </c>
      <c r="AE16" s="23">
        <f t="shared" si="16"/>
        <v>1.1927563637878968</v>
      </c>
      <c r="AF16" s="24">
        <f>SUM(AF4:AF15)</f>
        <v>33852.2</v>
      </c>
      <c r="AG16" s="135">
        <v>279933.3</v>
      </c>
      <c r="AH16" s="25">
        <f t="shared" si="1"/>
        <v>9.269279396907734</v>
      </c>
      <c r="AI16" s="24">
        <f>SUM(AI4:AI15)</f>
        <v>279933.29999999993</v>
      </c>
      <c r="AJ16" s="28">
        <f>SUM(AJ4:AJ15)</f>
        <v>279933.30000000005</v>
      </c>
      <c r="AK16" s="134">
        <v>33133.7</v>
      </c>
      <c r="AL16" s="28">
        <f>SUM(AL4:AL15)</f>
        <v>33133.7</v>
      </c>
      <c r="AM16" s="66">
        <f>SUM(AM4:AM15)</f>
        <v>313067</v>
      </c>
    </row>
    <row r="17" ht="23.25" customHeight="1"/>
    <row r="18" spans="15:20" s="59" customFormat="1" ht="18.75">
      <c r="O18" s="68"/>
      <c r="P18" s="68"/>
      <c r="Q18" s="68"/>
      <c r="R18" s="68"/>
      <c r="S18" s="68"/>
      <c r="T18" s="68"/>
    </row>
    <row r="19" spans="4:35" ht="12.75" customHeight="1">
      <c r="D19" s="76"/>
      <c r="E19" s="76"/>
      <c r="F19" s="76"/>
      <c r="G19" s="76"/>
      <c r="H19" s="76"/>
      <c r="I19" s="76"/>
      <c r="J19" s="76"/>
      <c r="K19" s="76"/>
      <c r="L19" s="76"/>
      <c r="M19" s="76"/>
      <c r="Z19" s="141" t="s">
        <v>128</v>
      </c>
      <c r="AA19" s="141"/>
      <c r="AB19" s="141"/>
      <c r="AC19" s="141"/>
      <c r="AD19" s="141"/>
      <c r="AE19" s="141"/>
      <c r="AF19" s="141"/>
      <c r="AG19" s="141"/>
      <c r="AH19" s="141"/>
      <c r="AI19" s="141"/>
    </row>
    <row r="20" spans="4:35" s="59" customFormat="1" ht="18.75">
      <c r="D20" s="76"/>
      <c r="E20" s="76"/>
      <c r="F20" s="76"/>
      <c r="G20" s="76"/>
      <c r="H20" s="76"/>
      <c r="I20" s="76"/>
      <c r="J20" s="76"/>
      <c r="K20" s="76"/>
      <c r="L20" s="76"/>
      <c r="M20" s="76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</row>
    <row r="22" s="59" customFormat="1" ht="18.75"/>
  </sheetData>
  <sheetProtection/>
  <mergeCells count="2">
    <mergeCell ref="A1:AM1"/>
    <mergeCell ref="Z19:AI20"/>
  </mergeCells>
  <printOptions/>
  <pageMargins left="0.15748031496062992" right="0.15748031496062992" top="0.7480314960629921" bottom="0.7480314960629921" header="0.31496062992125984" footer="0.31496062992125984"/>
  <pageSetup fitToWidth="2" fitToHeight="1" horizontalDpi="600" verticalDpi="600" orientation="landscape" paperSize="9" scale="53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G28" sqref="G28"/>
    </sheetView>
  </sheetViews>
  <sheetFormatPr defaultColWidth="9.140625" defaultRowHeight="15"/>
  <cols>
    <col min="1" max="1" width="24.7109375" style="2" bestFit="1" customWidth="1"/>
    <col min="2" max="2" width="10.140625" style="1" bestFit="1" customWidth="1"/>
    <col min="3" max="3" width="7.00390625" style="1" bestFit="1" customWidth="1"/>
    <col min="4" max="4" width="10.140625" style="1" bestFit="1" customWidth="1"/>
    <col min="5" max="5" width="9.28125" style="1" customWidth="1"/>
    <col min="6" max="9" width="14.140625" style="1" bestFit="1" customWidth="1"/>
    <col min="10" max="13" width="15.57421875" style="1" bestFit="1" customWidth="1"/>
    <col min="14" max="14" width="9.00390625" style="1" bestFit="1" customWidth="1"/>
    <col min="15" max="15" width="9.140625" style="2" customWidth="1"/>
    <col min="16" max="16" width="11.00390625" style="9" bestFit="1" customWidth="1"/>
    <col min="17" max="16384" width="9.140625" style="2" customWidth="1"/>
  </cols>
  <sheetData>
    <row r="1" spans="1:16" s="13" customFormat="1" ht="24.75" customHeight="1">
      <c r="A1" s="142" t="s">
        <v>124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P1" s="32"/>
    </row>
    <row r="2" spans="1:16" s="6" customFormat="1" ht="51">
      <c r="A2" s="5" t="s">
        <v>0</v>
      </c>
      <c r="B2" s="136" t="s">
        <v>35</v>
      </c>
      <c r="C2" s="12" t="s">
        <v>36</v>
      </c>
      <c r="D2" s="136" t="s">
        <v>37</v>
      </c>
      <c r="E2" s="17" t="s">
        <v>38</v>
      </c>
      <c r="F2" s="136" t="s">
        <v>42</v>
      </c>
      <c r="G2" s="12" t="s">
        <v>39</v>
      </c>
      <c r="H2" s="136" t="s">
        <v>40</v>
      </c>
      <c r="I2" s="17" t="s">
        <v>41</v>
      </c>
      <c r="J2" s="136" t="s">
        <v>43</v>
      </c>
      <c r="K2" s="12" t="s">
        <v>44</v>
      </c>
      <c r="L2" s="136" t="s">
        <v>45</v>
      </c>
      <c r="M2" s="17" t="s">
        <v>46</v>
      </c>
      <c r="N2" s="19" t="s">
        <v>13</v>
      </c>
      <c r="P2" s="10"/>
    </row>
    <row r="3" spans="1:16" s="63" customFormat="1" ht="18.75">
      <c r="A3" s="3" t="s">
        <v>1</v>
      </c>
      <c r="B3" s="137">
        <v>83890</v>
      </c>
      <c r="C3" s="72">
        <v>0.1</v>
      </c>
      <c r="D3" s="137">
        <v>156569.7</v>
      </c>
      <c r="E3" s="60">
        <f>B$15*C$15*(D3/D$15)</f>
        <v>12212.965277878639</v>
      </c>
      <c r="F3" s="137">
        <v>801</v>
      </c>
      <c r="G3" s="21">
        <v>1</v>
      </c>
      <c r="H3" s="137">
        <v>844</v>
      </c>
      <c r="I3" s="60">
        <f>F$15*G$15*(H3/H$15)</f>
        <v>483.4818441971383</v>
      </c>
      <c r="J3" s="137">
        <v>3276.4</v>
      </c>
      <c r="K3" s="21">
        <v>1</v>
      </c>
      <c r="L3" s="137">
        <v>9469</v>
      </c>
      <c r="M3" s="60">
        <f>J$15*K$15*(L3/L$15)</f>
        <v>3788.333020815413</v>
      </c>
      <c r="N3" s="62">
        <f>SUM(E3+I3+M3)</f>
        <v>16484.78014289119</v>
      </c>
      <c r="P3" s="64"/>
    </row>
    <row r="4" spans="1:16" s="63" customFormat="1" ht="18.75">
      <c r="A4" s="3" t="s">
        <v>2</v>
      </c>
      <c r="B4" s="137">
        <v>37580</v>
      </c>
      <c r="C4" s="72">
        <v>0.1</v>
      </c>
      <c r="D4" s="137">
        <v>42587.1</v>
      </c>
      <c r="E4" s="60">
        <f>B$15*C$15*(D4/D$15)</f>
        <v>3321.9376008611202</v>
      </c>
      <c r="F4" s="137">
        <v>104</v>
      </c>
      <c r="G4" s="21">
        <v>1</v>
      </c>
      <c r="H4" s="137">
        <v>105</v>
      </c>
      <c r="I4" s="60">
        <f aca="true" t="shared" si="0" ref="I4:I14">F$15*G$15*(H4/H$15)</f>
        <v>60.14880763116057</v>
      </c>
      <c r="J4" s="137">
        <v>248.7</v>
      </c>
      <c r="K4" s="21">
        <v>1</v>
      </c>
      <c r="L4" s="137">
        <v>80</v>
      </c>
      <c r="M4" s="60">
        <f aca="true" t="shared" si="1" ref="M4:M14">J$15*K$15*(L4/L$15)</f>
        <v>32.00619301565456</v>
      </c>
      <c r="N4" s="62">
        <f aca="true" t="shared" si="2" ref="N4:N14">SUM(E4+I4+M4)</f>
        <v>3414.0926015079353</v>
      </c>
      <c r="P4" s="64"/>
    </row>
    <row r="5" spans="1:16" s="63" customFormat="1" ht="18.75">
      <c r="A5" s="3" t="s">
        <v>3</v>
      </c>
      <c r="B5" s="137">
        <v>30200</v>
      </c>
      <c r="C5" s="72">
        <v>0.1</v>
      </c>
      <c r="D5" s="137">
        <v>26164.5</v>
      </c>
      <c r="E5" s="60">
        <f aca="true" t="shared" si="3" ref="E5:E13">B$15*C$15*(D5/D$15)</f>
        <v>2040.9193478243596</v>
      </c>
      <c r="F5" s="137">
        <v>104.8</v>
      </c>
      <c r="G5" s="21">
        <v>1</v>
      </c>
      <c r="H5" s="137">
        <v>110</v>
      </c>
      <c r="I5" s="60">
        <f t="shared" si="0"/>
        <v>63.013036565977735</v>
      </c>
      <c r="J5" s="137">
        <v>155.2</v>
      </c>
      <c r="K5" s="21">
        <v>1</v>
      </c>
      <c r="L5" s="137">
        <v>219</v>
      </c>
      <c r="M5" s="60">
        <f t="shared" si="1"/>
        <v>87.61695338035436</v>
      </c>
      <c r="N5" s="62">
        <f t="shared" si="2"/>
        <v>2191.549337770692</v>
      </c>
      <c r="P5" s="64"/>
    </row>
    <row r="6" spans="1:16" s="63" customFormat="1" ht="18.75">
      <c r="A6" s="3" t="s">
        <v>4</v>
      </c>
      <c r="B6" s="137">
        <v>7610</v>
      </c>
      <c r="C6" s="72">
        <v>0.1</v>
      </c>
      <c r="D6" s="137">
        <v>7124.6</v>
      </c>
      <c r="E6" s="60">
        <f t="shared" si="3"/>
        <v>555.7428571350276</v>
      </c>
      <c r="F6" s="137">
        <v>95.5</v>
      </c>
      <c r="G6" s="21">
        <v>1</v>
      </c>
      <c r="H6" s="137">
        <v>91</v>
      </c>
      <c r="I6" s="60">
        <f t="shared" si="0"/>
        <v>52.128966613672496</v>
      </c>
      <c r="J6" s="137">
        <v>120</v>
      </c>
      <c r="K6" s="21">
        <v>1</v>
      </c>
      <c r="L6" s="137">
        <v>64</v>
      </c>
      <c r="M6" s="60">
        <f t="shared" si="1"/>
        <v>25.604954412523647</v>
      </c>
      <c r="N6" s="62">
        <f t="shared" si="2"/>
        <v>633.4767781612237</v>
      </c>
      <c r="P6" s="64"/>
    </row>
    <row r="7" spans="1:16" s="63" customFormat="1" ht="18.75">
      <c r="A7" s="3" t="s">
        <v>5</v>
      </c>
      <c r="B7" s="137">
        <v>16560</v>
      </c>
      <c r="C7" s="72">
        <v>0.1</v>
      </c>
      <c r="D7" s="137">
        <v>16971.1</v>
      </c>
      <c r="E7" s="60">
        <f t="shared" si="3"/>
        <v>1323.8031051180792</v>
      </c>
      <c r="F7" s="137">
        <v>141.2</v>
      </c>
      <c r="G7" s="21">
        <v>1</v>
      </c>
      <c r="H7" s="137">
        <v>21</v>
      </c>
      <c r="I7" s="60">
        <f t="shared" si="0"/>
        <v>12.029761526232114</v>
      </c>
      <c r="J7" s="137">
        <v>50</v>
      </c>
      <c r="K7" s="21">
        <v>1</v>
      </c>
      <c r="L7" s="137">
        <v>216</v>
      </c>
      <c r="M7" s="60">
        <f t="shared" si="1"/>
        <v>86.41672114226732</v>
      </c>
      <c r="N7" s="62">
        <f t="shared" si="2"/>
        <v>1422.2495877865786</v>
      </c>
      <c r="P7" s="64"/>
    </row>
    <row r="8" spans="1:16" s="63" customFormat="1" ht="18.75">
      <c r="A8" s="3" t="s">
        <v>6</v>
      </c>
      <c r="B8" s="137">
        <v>16730</v>
      </c>
      <c r="C8" s="72">
        <v>0.1</v>
      </c>
      <c r="D8" s="137">
        <v>18780.9</v>
      </c>
      <c r="E8" s="60">
        <f t="shared" si="3"/>
        <v>1464.9736161422734</v>
      </c>
      <c r="F8" s="137">
        <v>109.1</v>
      </c>
      <c r="G8" s="21">
        <v>1</v>
      </c>
      <c r="H8" s="137">
        <v>73</v>
      </c>
      <c r="I8" s="60">
        <f t="shared" si="0"/>
        <v>41.817742448330684</v>
      </c>
      <c r="J8" s="137">
        <v>120</v>
      </c>
      <c r="K8" s="21">
        <v>1</v>
      </c>
      <c r="L8" s="137">
        <v>228</v>
      </c>
      <c r="M8" s="60">
        <f t="shared" si="1"/>
        <v>91.21765009461551</v>
      </c>
      <c r="N8" s="62">
        <f t="shared" si="2"/>
        <v>1598.0090086852194</v>
      </c>
      <c r="P8" s="64"/>
    </row>
    <row r="9" spans="1:16" s="63" customFormat="1" ht="18.75">
      <c r="A9" s="3" t="s">
        <v>14</v>
      </c>
      <c r="B9" s="137">
        <v>38430</v>
      </c>
      <c r="C9" s="72">
        <v>0.1</v>
      </c>
      <c r="D9" s="137">
        <v>41604.8</v>
      </c>
      <c r="E9" s="60">
        <f t="shared" si="3"/>
        <v>3245.314883997895</v>
      </c>
      <c r="F9" s="137">
        <v>224</v>
      </c>
      <c r="G9" s="21">
        <v>1</v>
      </c>
      <c r="H9" s="137">
        <v>230</v>
      </c>
      <c r="I9" s="60">
        <f t="shared" si="0"/>
        <v>131.7545310015898</v>
      </c>
      <c r="J9" s="137">
        <v>163</v>
      </c>
      <c r="K9" s="21">
        <v>1</v>
      </c>
      <c r="L9" s="137">
        <v>600</v>
      </c>
      <c r="M9" s="60">
        <f t="shared" si="1"/>
        <v>240.04644761740923</v>
      </c>
      <c r="N9" s="62">
        <f t="shared" si="2"/>
        <v>3617.115862616894</v>
      </c>
      <c r="P9" s="64"/>
    </row>
    <row r="10" spans="1:16" s="63" customFormat="1" ht="18.75">
      <c r="A10" s="3" t="s">
        <v>7</v>
      </c>
      <c r="B10" s="137">
        <v>7530</v>
      </c>
      <c r="C10" s="72">
        <v>0.1</v>
      </c>
      <c r="D10" s="137">
        <v>8242.8</v>
      </c>
      <c r="E10" s="60">
        <f t="shared" si="3"/>
        <v>642.9662328822117</v>
      </c>
      <c r="F10" s="137">
        <v>27.4</v>
      </c>
      <c r="G10" s="21">
        <v>1</v>
      </c>
      <c r="H10" s="137">
        <v>16</v>
      </c>
      <c r="I10" s="60">
        <f t="shared" si="0"/>
        <v>9.165532591414944</v>
      </c>
      <c r="J10" s="137">
        <v>32</v>
      </c>
      <c r="K10" s="21">
        <v>1</v>
      </c>
      <c r="L10" s="137">
        <v>31</v>
      </c>
      <c r="M10" s="60">
        <f t="shared" si="1"/>
        <v>12.402399793566143</v>
      </c>
      <c r="N10" s="62">
        <f t="shared" si="2"/>
        <v>664.5341652671927</v>
      </c>
      <c r="P10" s="64"/>
    </row>
    <row r="11" spans="1:16" s="63" customFormat="1" ht="18.75">
      <c r="A11" s="3" t="s">
        <v>8</v>
      </c>
      <c r="B11" s="137">
        <v>8550</v>
      </c>
      <c r="C11" s="72">
        <v>0.1</v>
      </c>
      <c r="D11" s="137">
        <v>8004.3</v>
      </c>
      <c r="E11" s="60">
        <f t="shared" si="3"/>
        <v>624.3624275560595</v>
      </c>
      <c r="F11" s="137">
        <v>52</v>
      </c>
      <c r="G11" s="21">
        <v>1</v>
      </c>
      <c r="H11" s="137">
        <v>33</v>
      </c>
      <c r="I11" s="60">
        <f t="shared" si="0"/>
        <v>18.903910969793323</v>
      </c>
      <c r="J11" s="137">
        <v>47</v>
      </c>
      <c r="K11" s="21">
        <v>1</v>
      </c>
      <c r="L11" s="137">
        <v>84</v>
      </c>
      <c r="M11" s="60">
        <f t="shared" si="1"/>
        <v>33.60650266643729</v>
      </c>
      <c r="N11" s="62">
        <f t="shared" si="2"/>
        <v>676.8728411922901</v>
      </c>
      <c r="P11" s="64"/>
    </row>
    <row r="12" spans="1:16" s="63" customFormat="1" ht="18.75">
      <c r="A12" s="3" t="s">
        <v>9</v>
      </c>
      <c r="B12" s="137">
        <v>24230</v>
      </c>
      <c r="C12" s="72">
        <v>0.1</v>
      </c>
      <c r="D12" s="137">
        <v>24610.9</v>
      </c>
      <c r="E12" s="60">
        <f t="shared" si="3"/>
        <v>1919.7333018926613</v>
      </c>
      <c r="F12" s="137">
        <v>71.6</v>
      </c>
      <c r="G12" s="21">
        <v>1</v>
      </c>
      <c r="H12" s="137">
        <v>1552</v>
      </c>
      <c r="I12" s="60">
        <f t="shared" si="0"/>
        <v>889.0566613672495</v>
      </c>
      <c r="J12" s="137">
        <v>322</v>
      </c>
      <c r="K12" s="21">
        <v>1</v>
      </c>
      <c r="L12" s="137">
        <v>517</v>
      </c>
      <c r="M12" s="60">
        <f t="shared" si="1"/>
        <v>206.8400223636676</v>
      </c>
      <c r="N12" s="62">
        <f t="shared" si="2"/>
        <v>3015.6299856235787</v>
      </c>
      <c r="P12" s="64"/>
    </row>
    <row r="13" spans="1:16" s="63" customFormat="1" ht="18.75">
      <c r="A13" s="3" t="s">
        <v>10</v>
      </c>
      <c r="B13" s="137">
        <v>9430</v>
      </c>
      <c r="C13" s="72">
        <v>0.1</v>
      </c>
      <c r="D13" s="137">
        <v>10034.1</v>
      </c>
      <c r="E13" s="60">
        <f t="shared" si="3"/>
        <v>782.6936814387589</v>
      </c>
      <c r="F13" s="137">
        <v>53</v>
      </c>
      <c r="G13" s="21">
        <v>1</v>
      </c>
      <c r="H13" s="137">
        <v>52</v>
      </c>
      <c r="I13" s="60">
        <f t="shared" si="0"/>
        <v>29.787980922098566</v>
      </c>
      <c r="J13" s="137">
        <v>76</v>
      </c>
      <c r="K13" s="21">
        <v>1</v>
      </c>
      <c r="L13" s="137">
        <v>95</v>
      </c>
      <c r="M13" s="60">
        <f t="shared" si="1"/>
        <v>38.00735420608979</v>
      </c>
      <c r="N13" s="62">
        <f t="shared" si="2"/>
        <v>850.4890165669472</v>
      </c>
      <c r="P13" s="64"/>
    </row>
    <row r="14" spans="1:16" s="63" customFormat="1" ht="18.75">
      <c r="A14" s="3" t="s">
        <v>11</v>
      </c>
      <c r="B14" s="137">
        <v>3910</v>
      </c>
      <c r="C14" s="72">
        <v>0.1</v>
      </c>
      <c r="D14" s="137">
        <v>4225.3</v>
      </c>
      <c r="E14" s="60">
        <f>B$15*C$15*(D14/D$15)</f>
        <v>329.5876672729181</v>
      </c>
      <c r="F14" s="137">
        <v>18</v>
      </c>
      <c r="G14" s="21">
        <v>1</v>
      </c>
      <c r="H14" s="137">
        <v>18</v>
      </c>
      <c r="I14" s="60">
        <f t="shared" si="0"/>
        <v>10.31122416534181</v>
      </c>
      <c r="J14" s="137">
        <v>41</v>
      </c>
      <c r="K14" s="21">
        <v>1</v>
      </c>
      <c r="L14" s="137">
        <v>23</v>
      </c>
      <c r="M14" s="60">
        <f t="shared" si="1"/>
        <v>9.201780492000687</v>
      </c>
      <c r="N14" s="62">
        <f t="shared" si="2"/>
        <v>349.1006719302606</v>
      </c>
      <c r="P14" s="64"/>
    </row>
    <row r="15" spans="1:16" s="4" customFormat="1" ht="18.75">
      <c r="A15" s="3" t="s">
        <v>12</v>
      </c>
      <c r="B15" s="138">
        <f>SUM(B3:B14)</f>
        <v>284650</v>
      </c>
      <c r="C15" s="80">
        <v>0.1</v>
      </c>
      <c r="D15" s="138">
        <f>SUM(D3:D14)</f>
        <v>364920.1</v>
      </c>
      <c r="E15" s="25"/>
      <c r="F15" s="138">
        <f>SUM(F3:F14)</f>
        <v>1801.6</v>
      </c>
      <c r="G15" s="24">
        <v>1</v>
      </c>
      <c r="H15" s="138">
        <f>SUM(H3:H14)</f>
        <v>3145</v>
      </c>
      <c r="I15" s="25"/>
      <c r="J15" s="138">
        <f>SUM(J3:J14)</f>
        <v>4651.299999999999</v>
      </c>
      <c r="K15" s="24">
        <v>1</v>
      </c>
      <c r="L15" s="138">
        <f>SUM(L3:L14)</f>
        <v>11626</v>
      </c>
      <c r="M15" s="25"/>
      <c r="N15" s="86">
        <f>SUM(N3:N14)</f>
        <v>34917.90000000001</v>
      </c>
      <c r="P15" s="11"/>
    </row>
    <row r="16" ht="23.25" customHeight="1"/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7.00390625" style="47" customWidth="1"/>
    <col min="2" max="2" width="12.7109375" style="45" customWidth="1"/>
    <col min="3" max="3" width="12.57421875" style="45" customWidth="1"/>
    <col min="4" max="4" width="13.28125" style="45" customWidth="1"/>
    <col min="5" max="5" width="11.421875" style="45" customWidth="1"/>
    <col min="6" max="6" width="12.421875" style="45" customWidth="1"/>
    <col min="7" max="7" width="11.7109375" style="45" customWidth="1"/>
    <col min="8" max="8" width="12.28125" style="45" customWidth="1"/>
    <col min="9" max="9" width="11.7109375" style="45" customWidth="1"/>
    <col min="10" max="10" width="12.57421875" style="45" customWidth="1"/>
    <col min="11" max="11" width="11.7109375" style="45" customWidth="1"/>
    <col min="12" max="13" width="10.140625" style="45" bestFit="1" customWidth="1"/>
    <col min="14" max="232" width="9.140625" style="45" customWidth="1"/>
    <col min="233" max="16384" width="9.140625" style="46" customWidth="1"/>
  </cols>
  <sheetData>
    <row r="1" spans="1:13" ht="12.75">
      <c r="A1" s="146" t="s">
        <v>139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ht="12.75">
      <c r="M2" s="45" t="s">
        <v>77</v>
      </c>
    </row>
    <row r="3" spans="1:232" ht="47.25" customHeight="1">
      <c r="A3" s="143" t="s">
        <v>78</v>
      </c>
      <c r="B3" s="144" t="s">
        <v>60</v>
      </c>
      <c r="C3" s="144"/>
      <c r="D3" s="144"/>
      <c r="E3" s="144" t="s">
        <v>61</v>
      </c>
      <c r="F3" s="144"/>
      <c r="G3" s="144"/>
      <c r="H3" s="144" t="s">
        <v>62</v>
      </c>
      <c r="I3" s="144"/>
      <c r="J3" s="144"/>
      <c r="K3" s="145" t="s">
        <v>76</v>
      </c>
      <c r="L3" s="145"/>
      <c r="M3" s="145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</row>
    <row r="4" spans="1:13" ht="12.75" customHeight="1">
      <c r="A4" s="143"/>
      <c r="B4" s="48" t="s">
        <v>123</v>
      </c>
      <c r="C4" s="49" t="s">
        <v>129</v>
      </c>
      <c r="D4" s="50" t="s">
        <v>138</v>
      </c>
      <c r="E4" s="48" t="s">
        <v>123</v>
      </c>
      <c r="F4" s="49" t="s">
        <v>129</v>
      </c>
      <c r="G4" s="50" t="s">
        <v>138</v>
      </c>
      <c r="H4" s="48" t="s">
        <v>123</v>
      </c>
      <c r="I4" s="49" t="s">
        <v>129</v>
      </c>
      <c r="J4" s="50" t="s">
        <v>138</v>
      </c>
      <c r="K4" s="48" t="s">
        <v>123</v>
      </c>
      <c r="L4" s="49" t="s">
        <v>129</v>
      </c>
      <c r="M4" s="50" t="s">
        <v>138</v>
      </c>
    </row>
    <row r="5" spans="1:232" ht="13.5" customHeight="1">
      <c r="A5" s="139" t="s">
        <v>63</v>
      </c>
      <c r="B5" s="128">
        <v>7634</v>
      </c>
      <c r="C5" s="129">
        <v>8130</v>
      </c>
      <c r="D5" s="130">
        <v>8659</v>
      </c>
      <c r="E5" s="131">
        <v>801</v>
      </c>
      <c r="F5" s="132">
        <v>846.4</v>
      </c>
      <c r="G5" s="133">
        <v>889</v>
      </c>
      <c r="H5" s="131">
        <v>3276.4</v>
      </c>
      <c r="I5" s="132">
        <v>3417.3</v>
      </c>
      <c r="J5" s="133">
        <v>3417.3</v>
      </c>
      <c r="K5" s="51">
        <f>SUM(B5+E5+H5)</f>
        <v>11711.4</v>
      </c>
      <c r="L5" s="52">
        <f>SUM(C5+F5+I5)</f>
        <v>12393.7</v>
      </c>
      <c r="M5" s="53">
        <f>SUM(D5+G5+J5)</f>
        <v>12965.3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</row>
    <row r="6" spans="1:232" ht="13.5" customHeight="1">
      <c r="A6" s="139" t="s">
        <v>64</v>
      </c>
      <c r="B6" s="128">
        <v>3610</v>
      </c>
      <c r="C6" s="129">
        <v>3620</v>
      </c>
      <c r="D6" s="130">
        <v>3621</v>
      </c>
      <c r="E6" s="131">
        <v>104</v>
      </c>
      <c r="F6" s="132">
        <v>106</v>
      </c>
      <c r="G6" s="133">
        <v>107</v>
      </c>
      <c r="H6" s="131">
        <v>248.7</v>
      </c>
      <c r="I6" s="132">
        <v>249.8</v>
      </c>
      <c r="J6" s="133">
        <v>251.8</v>
      </c>
      <c r="K6" s="51">
        <f aca="true" t="shared" si="0" ref="K6:M16">SUM(B6+E6+H6)</f>
        <v>3962.7</v>
      </c>
      <c r="L6" s="52">
        <f t="shared" si="0"/>
        <v>3975.8</v>
      </c>
      <c r="M6" s="53">
        <f t="shared" si="0"/>
        <v>3979.8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</row>
    <row r="7" spans="1:232" ht="13.5" customHeight="1">
      <c r="A7" s="139" t="s">
        <v>65</v>
      </c>
      <c r="B7" s="128">
        <v>3020</v>
      </c>
      <c r="C7" s="129">
        <v>3020</v>
      </c>
      <c r="D7" s="130">
        <v>3020</v>
      </c>
      <c r="E7" s="131">
        <v>104.8</v>
      </c>
      <c r="F7" s="132">
        <v>110.3</v>
      </c>
      <c r="G7" s="133">
        <v>110.3</v>
      </c>
      <c r="H7" s="131">
        <v>202.9</v>
      </c>
      <c r="I7" s="132">
        <v>202.9</v>
      </c>
      <c r="J7" s="133">
        <v>202.9</v>
      </c>
      <c r="K7" s="51">
        <f t="shared" si="0"/>
        <v>3327.7000000000003</v>
      </c>
      <c r="L7" s="52">
        <f t="shared" si="0"/>
        <v>3333.2000000000003</v>
      </c>
      <c r="M7" s="53">
        <f t="shared" si="0"/>
        <v>3333.2000000000003</v>
      </c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</row>
    <row r="8" spans="1:232" ht="13.5" customHeight="1">
      <c r="A8" s="139" t="s">
        <v>66</v>
      </c>
      <c r="B8" s="128">
        <v>992</v>
      </c>
      <c r="C8" s="129">
        <v>1042</v>
      </c>
      <c r="D8" s="130">
        <v>1094</v>
      </c>
      <c r="E8" s="131">
        <v>53</v>
      </c>
      <c r="F8" s="132">
        <v>56</v>
      </c>
      <c r="G8" s="133">
        <v>59</v>
      </c>
      <c r="H8" s="131">
        <v>76</v>
      </c>
      <c r="I8" s="132">
        <v>80</v>
      </c>
      <c r="J8" s="133">
        <v>84</v>
      </c>
      <c r="K8" s="51">
        <f t="shared" si="0"/>
        <v>1121</v>
      </c>
      <c r="L8" s="52">
        <f t="shared" si="0"/>
        <v>1178</v>
      </c>
      <c r="M8" s="53">
        <f t="shared" si="0"/>
        <v>1237</v>
      </c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</row>
    <row r="9" spans="1:232" ht="13.5" customHeight="1">
      <c r="A9" s="139" t="s">
        <v>67</v>
      </c>
      <c r="B9" s="128">
        <v>1656</v>
      </c>
      <c r="C9" s="129">
        <v>1656</v>
      </c>
      <c r="D9" s="130">
        <v>1656</v>
      </c>
      <c r="E9" s="131">
        <v>141.2</v>
      </c>
      <c r="F9" s="132">
        <v>148.3</v>
      </c>
      <c r="G9" s="133">
        <v>148.3</v>
      </c>
      <c r="H9" s="131">
        <v>50</v>
      </c>
      <c r="I9" s="132">
        <v>50</v>
      </c>
      <c r="J9" s="133">
        <v>50</v>
      </c>
      <c r="K9" s="51">
        <f t="shared" si="0"/>
        <v>1847.2</v>
      </c>
      <c r="L9" s="52">
        <f t="shared" si="0"/>
        <v>1854.3</v>
      </c>
      <c r="M9" s="53">
        <f t="shared" si="0"/>
        <v>1854.3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</row>
    <row r="10" spans="1:232" ht="13.5" customHeight="1">
      <c r="A10" s="139" t="s">
        <v>68</v>
      </c>
      <c r="B10" s="128">
        <v>753</v>
      </c>
      <c r="C10" s="129">
        <v>753</v>
      </c>
      <c r="D10" s="130">
        <v>753</v>
      </c>
      <c r="E10" s="131">
        <v>27.4</v>
      </c>
      <c r="F10" s="132">
        <v>29.6</v>
      </c>
      <c r="G10" s="133">
        <v>29.6</v>
      </c>
      <c r="H10" s="131">
        <v>32</v>
      </c>
      <c r="I10" s="132">
        <v>32</v>
      </c>
      <c r="J10" s="133">
        <v>32</v>
      </c>
      <c r="K10" s="51">
        <f t="shared" si="0"/>
        <v>812.4</v>
      </c>
      <c r="L10" s="52">
        <f t="shared" si="0"/>
        <v>814.6</v>
      </c>
      <c r="M10" s="53">
        <f t="shared" si="0"/>
        <v>814.6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</row>
    <row r="11" spans="1:232" ht="13.5" customHeight="1">
      <c r="A11" s="139" t="s">
        <v>69</v>
      </c>
      <c r="B11" s="128">
        <v>2423</v>
      </c>
      <c r="C11" s="129">
        <v>2500</v>
      </c>
      <c r="D11" s="130">
        <v>2500</v>
      </c>
      <c r="E11" s="131">
        <v>71.6</v>
      </c>
      <c r="F11" s="132">
        <v>86.2</v>
      </c>
      <c r="G11" s="133">
        <v>86.2</v>
      </c>
      <c r="H11" s="131">
        <v>322</v>
      </c>
      <c r="I11" s="132">
        <v>373</v>
      </c>
      <c r="J11" s="133">
        <v>373</v>
      </c>
      <c r="K11" s="51">
        <f t="shared" si="0"/>
        <v>2816.6</v>
      </c>
      <c r="L11" s="52">
        <f t="shared" si="0"/>
        <v>2959.2</v>
      </c>
      <c r="M11" s="53">
        <f t="shared" si="0"/>
        <v>2959.2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</row>
    <row r="12" spans="1:232" ht="13.5" customHeight="1">
      <c r="A12" s="139" t="s">
        <v>70</v>
      </c>
      <c r="B12" s="128">
        <v>3843</v>
      </c>
      <c r="C12" s="129">
        <v>3000</v>
      </c>
      <c r="D12" s="130">
        <v>3000</v>
      </c>
      <c r="E12" s="131">
        <v>224</v>
      </c>
      <c r="F12" s="132">
        <v>235</v>
      </c>
      <c r="G12" s="133">
        <v>235</v>
      </c>
      <c r="H12" s="131">
        <v>163</v>
      </c>
      <c r="I12" s="132">
        <v>163</v>
      </c>
      <c r="J12" s="133">
        <v>163</v>
      </c>
      <c r="K12" s="51">
        <f t="shared" si="0"/>
        <v>4230</v>
      </c>
      <c r="L12" s="52">
        <f t="shared" si="0"/>
        <v>3398</v>
      </c>
      <c r="M12" s="53">
        <f t="shared" si="0"/>
        <v>3398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</row>
    <row r="13" spans="1:232" ht="13.5" customHeight="1">
      <c r="A13" s="139" t="s">
        <v>71</v>
      </c>
      <c r="B13" s="128">
        <v>761</v>
      </c>
      <c r="C13" s="129">
        <v>761</v>
      </c>
      <c r="D13" s="130">
        <v>761</v>
      </c>
      <c r="E13" s="131">
        <v>95.5</v>
      </c>
      <c r="F13" s="132">
        <v>100.6</v>
      </c>
      <c r="G13" s="133">
        <v>100.6</v>
      </c>
      <c r="H13" s="131">
        <v>120</v>
      </c>
      <c r="I13" s="132">
        <v>120</v>
      </c>
      <c r="J13" s="133">
        <v>120</v>
      </c>
      <c r="K13" s="51">
        <f t="shared" si="0"/>
        <v>976.5</v>
      </c>
      <c r="L13" s="52">
        <f t="shared" si="0"/>
        <v>981.6</v>
      </c>
      <c r="M13" s="53">
        <f t="shared" si="0"/>
        <v>981.6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</row>
    <row r="14" spans="1:232" ht="13.5" customHeight="1">
      <c r="A14" s="139" t="s">
        <v>72</v>
      </c>
      <c r="B14" s="128">
        <v>1500</v>
      </c>
      <c r="C14" s="129">
        <v>1500</v>
      </c>
      <c r="D14" s="130">
        <v>1500</v>
      </c>
      <c r="E14" s="131">
        <v>109.1</v>
      </c>
      <c r="F14" s="132">
        <v>109.1</v>
      </c>
      <c r="G14" s="133">
        <v>109.1</v>
      </c>
      <c r="H14" s="131">
        <v>120</v>
      </c>
      <c r="I14" s="132">
        <v>120</v>
      </c>
      <c r="J14" s="133">
        <v>120</v>
      </c>
      <c r="K14" s="51">
        <f t="shared" si="0"/>
        <v>1729.1</v>
      </c>
      <c r="L14" s="52">
        <f t="shared" si="0"/>
        <v>1729.1</v>
      </c>
      <c r="M14" s="53">
        <f t="shared" si="0"/>
        <v>1729.1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</row>
    <row r="15" spans="1:232" ht="13.5" customHeight="1">
      <c r="A15" s="139" t="s">
        <v>73</v>
      </c>
      <c r="B15" s="128">
        <v>831</v>
      </c>
      <c r="C15" s="129">
        <v>831</v>
      </c>
      <c r="D15" s="130">
        <v>831</v>
      </c>
      <c r="E15" s="131">
        <v>52</v>
      </c>
      <c r="F15" s="132">
        <v>53</v>
      </c>
      <c r="G15" s="133">
        <v>54</v>
      </c>
      <c r="H15" s="131">
        <v>47</v>
      </c>
      <c r="I15" s="132">
        <v>47</v>
      </c>
      <c r="J15" s="133">
        <v>47</v>
      </c>
      <c r="K15" s="51">
        <f t="shared" si="0"/>
        <v>930</v>
      </c>
      <c r="L15" s="52">
        <f t="shared" si="0"/>
        <v>931</v>
      </c>
      <c r="M15" s="53">
        <f t="shared" si="0"/>
        <v>932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</row>
    <row r="16" spans="1:232" ht="13.5" customHeight="1">
      <c r="A16" s="139" t="s">
        <v>74</v>
      </c>
      <c r="B16" s="128">
        <v>328.6</v>
      </c>
      <c r="C16" s="129">
        <v>319.8</v>
      </c>
      <c r="D16" s="130">
        <v>319.8</v>
      </c>
      <c r="E16" s="131">
        <v>18</v>
      </c>
      <c r="F16" s="132">
        <v>18</v>
      </c>
      <c r="G16" s="133">
        <v>18</v>
      </c>
      <c r="H16" s="131">
        <v>41</v>
      </c>
      <c r="I16" s="132">
        <v>41</v>
      </c>
      <c r="J16" s="133">
        <v>41</v>
      </c>
      <c r="K16" s="51">
        <f t="shared" si="0"/>
        <v>387.6</v>
      </c>
      <c r="L16" s="52">
        <f>SUM(C16+F16+I16)</f>
        <v>378.8</v>
      </c>
      <c r="M16" s="53">
        <f t="shared" si="0"/>
        <v>378.8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</row>
    <row r="17" spans="1:13" s="58" customFormat="1" ht="12.75">
      <c r="A17" s="54" t="s">
        <v>75</v>
      </c>
      <c r="B17" s="55">
        <f>SUM(B5:B16)</f>
        <v>27351.6</v>
      </c>
      <c r="C17" s="56">
        <f aca="true" t="shared" si="1" ref="C17:M17">SUM(C5:C16)</f>
        <v>27132.8</v>
      </c>
      <c r="D17" s="57">
        <f t="shared" si="1"/>
        <v>27714.8</v>
      </c>
      <c r="E17" s="55">
        <f t="shared" si="1"/>
        <v>1801.6</v>
      </c>
      <c r="F17" s="56">
        <f t="shared" si="1"/>
        <v>1898.4999999999998</v>
      </c>
      <c r="G17" s="57">
        <f t="shared" si="1"/>
        <v>1946.0999999999997</v>
      </c>
      <c r="H17" s="55">
        <f t="shared" si="1"/>
        <v>4699</v>
      </c>
      <c r="I17" s="56">
        <f t="shared" si="1"/>
        <v>4896</v>
      </c>
      <c r="J17" s="57">
        <f t="shared" si="1"/>
        <v>4902</v>
      </c>
      <c r="K17" s="55">
        <f t="shared" si="1"/>
        <v>33852.2</v>
      </c>
      <c r="L17" s="56">
        <f t="shared" si="1"/>
        <v>33927.3</v>
      </c>
      <c r="M17" s="57">
        <f t="shared" si="1"/>
        <v>34562.9</v>
      </c>
    </row>
    <row r="18" s="45" customFormat="1" ht="12.75"/>
    <row r="19" s="45" customFormat="1" ht="12.75"/>
  </sheetData>
  <sheetProtection/>
  <mergeCells count="6">
    <mergeCell ref="A3:A4"/>
    <mergeCell ref="B3:D3"/>
    <mergeCell ref="E3:G3"/>
    <mergeCell ref="H3:J3"/>
    <mergeCell ref="K3:M3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110" zoomScaleNormal="110" zoomScalePageLayoutView="0" workbookViewId="0" topLeftCell="A3">
      <selection activeCell="T19" sqref="T19"/>
    </sheetView>
  </sheetViews>
  <sheetFormatPr defaultColWidth="9.140625" defaultRowHeight="15"/>
  <cols>
    <col min="2" max="2" width="10.140625" style="0" bestFit="1" customWidth="1"/>
    <col min="3" max="3" width="10.8515625" style="0" customWidth="1"/>
    <col min="4" max="4" width="10.7109375" style="0" bestFit="1" customWidth="1"/>
    <col min="5" max="5" width="11.421875" style="0" customWidth="1"/>
    <col min="6" max="6" width="8.00390625" style="0" bestFit="1" customWidth="1"/>
    <col min="7" max="7" width="10.421875" style="0" bestFit="1" customWidth="1"/>
    <col min="8" max="8" width="11.00390625" style="0" bestFit="1" customWidth="1"/>
    <col min="9" max="9" width="11.140625" style="0" bestFit="1" customWidth="1"/>
    <col min="10" max="10" width="11.00390625" style="0" bestFit="1" customWidth="1"/>
    <col min="11" max="12" width="8.00390625" style="0" bestFit="1" customWidth="1"/>
    <col min="13" max="13" width="9.28125" style="0" bestFit="1" customWidth="1"/>
    <col min="14" max="14" width="9.7109375" style="0" bestFit="1" customWidth="1"/>
  </cols>
  <sheetData>
    <row r="1" spans="1:14" ht="18.75">
      <c r="A1" s="147" t="s">
        <v>133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3" spans="1:14" ht="30">
      <c r="A3" s="33" t="s">
        <v>79</v>
      </c>
      <c r="B3" s="34" t="s">
        <v>80</v>
      </c>
      <c r="C3" s="122" t="s">
        <v>1</v>
      </c>
      <c r="D3" s="34" t="s">
        <v>9</v>
      </c>
      <c r="E3" s="122" t="s">
        <v>7</v>
      </c>
      <c r="F3" s="34" t="s">
        <v>10</v>
      </c>
      <c r="G3" s="34" t="s">
        <v>14</v>
      </c>
      <c r="H3" s="34" t="s">
        <v>81</v>
      </c>
      <c r="I3" s="34" t="s">
        <v>2</v>
      </c>
      <c r="J3" s="34" t="s">
        <v>6</v>
      </c>
      <c r="K3" s="34" t="s">
        <v>11</v>
      </c>
      <c r="L3" s="34" t="s">
        <v>3</v>
      </c>
      <c r="M3" s="34" t="s">
        <v>4</v>
      </c>
      <c r="N3" s="34" t="s">
        <v>82</v>
      </c>
    </row>
    <row r="4" spans="1:14" ht="15">
      <c r="A4" s="35" t="s">
        <v>83</v>
      </c>
      <c r="B4" s="124">
        <v>10890</v>
      </c>
      <c r="C4" s="124">
        <v>18904.4</v>
      </c>
      <c r="D4" s="124">
        <v>13814</v>
      </c>
      <c r="E4" s="124">
        <v>9424.3</v>
      </c>
      <c r="F4" s="124">
        <v>10561.1</v>
      </c>
      <c r="G4" s="124">
        <v>16419.4</v>
      </c>
      <c r="H4" s="124">
        <v>11921</v>
      </c>
      <c r="I4" s="124">
        <v>12071</v>
      </c>
      <c r="J4" s="124">
        <v>17970.6</v>
      </c>
      <c r="K4" s="124">
        <v>5106.9</v>
      </c>
      <c r="L4" s="126">
        <v>16584.1</v>
      </c>
      <c r="M4" s="124">
        <v>9230.5</v>
      </c>
      <c r="N4" s="87">
        <f>SUM(B4:M4)</f>
        <v>152897.3</v>
      </c>
    </row>
    <row r="5" spans="1:14" ht="15">
      <c r="A5" s="35" t="s">
        <v>84</v>
      </c>
      <c r="B5" s="124">
        <v>251.9</v>
      </c>
      <c r="C5" s="124">
        <v>592.8</v>
      </c>
      <c r="D5" s="124">
        <v>234.8</v>
      </c>
      <c r="E5" s="124">
        <v>149.5</v>
      </c>
      <c r="F5" s="124">
        <v>354.5</v>
      </c>
      <c r="G5" s="124">
        <v>920.4</v>
      </c>
      <c r="H5" s="124">
        <v>289.4</v>
      </c>
      <c r="I5" s="124">
        <v>200.4</v>
      </c>
      <c r="J5" s="124">
        <v>397.8</v>
      </c>
      <c r="K5" s="124">
        <v>282.2</v>
      </c>
      <c r="L5" s="126">
        <v>648.5</v>
      </c>
      <c r="M5" s="124">
        <v>229.3</v>
      </c>
      <c r="N5" s="87">
        <f>SUM(B5:M5)</f>
        <v>4551.500000000001</v>
      </c>
    </row>
    <row r="6" spans="1:14" ht="15">
      <c r="A6" s="35" t="s">
        <v>85</v>
      </c>
      <c r="B6" s="124">
        <v>3032.8</v>
      </c>
      <c r="C6" s="124">
        <v>5253</v>
      </c>
      <c r="D6" s="124">
        <v>4352.3</v>
      </c>
      <c r="E6" s="124">
        <v>2623.8</v>
      </c>
      <c r="F6" s="124">
        <v>3040.8</v>
      </c>
      <c r="G6" s="124">
        <v>4308.2</v>
      </c>
      <c r="H6" s="124">
        <v>3543.1</v>
      </c>
      <c r="I6" s="124">
        <v>3432.4</v>
      </c>
      <c r="J6" s="124">
        <v>5145.8</v>
      </c>
      <c r="K6" s="124">
        <v>1711.4</v>
      </c>
      <c r="L6" s="126">
        <v>3343.6</v>
      </c>
      <c r="M6" s="124">
        <v>2614.9</v>
      </c>
      <c r="N6" s="87">
        <f>SUM(B6:M6)</f>
        <v>42402.1</v>
      </c>
    </row>
    <row r="7" spans="1:14" ht="15">
      <c r="A7" s="35" t="s">
        <v>86</v>
      </c>
      <c r="B7" s="124">
        <v>186.8</v>
      </c>
      <c r="C7" s="124">
        <v>334.1</v>
      </c>
      <c r="D7" s="124">
        <v>269.2</v>
      </c>
      <c r="E7" s="124">
        <v>183.6</v>
      </c>
      <c r="F7" s="124">
        <v>209.2</v>
      </c>
      <c r="G7" s="124">
        <v>457.7</v>
      </c>
      <c r="H7" s="124">
        <v>255.4</v>
      </c>
      <c r="I7" s="124">
        <v>287.4</v>
      </c>
      <c r="J7" s="124">
        <v>295.6</v>
      </c>
      <c r="K7" s="124">
        <v>390.1</v>
      </c>
      <c r="L7" s="126">
        <v>348.2</v>
      </c>
      <c r="M7" s="124">
        <v>162</v>
      </c>
      <c r="N7" s="87">
        <f aca="true" t="shared" si="0" ref="N7:N20">SUM(B7:M7)</f>
        <v>3379.2999999999997</v>
      </c>
    </row>
    <row r="8" spans="1:14" ht="15">
      <c r="A8" s="35" t="s">
        <v>87</v>
      </c>
      <c r="B8" s="124">
        <v>469.4</v>
      </c>
      <c r="C8" s="124">
        <v>34.5</v>
      </c>
      <c r="D8" s="124">
        <v>130</v>
      </c>
      <c r="E8" s="124">
        <v>300.2</v>
      </c>
      <c r="F8" s="124">
        <v>226.5</v>
      </c>
      <c r="G8" s="124">
        <v>1051.2</v>
      </c>
      <c r="H8" s="124">
        <v>200.2</v>
      </c>
      <c r="I8" s="124">
        <v>278.3</v>
      </c>
      <c r="J8" s="124">
        <v>115.9</v>
      </c>
      <c r="K8" s="124">
        <v>225.3</v>
      </c>
      <c r="L8" s="126">
        <v>199.2</v>
      </c>
      <c r="M8" s="124">
        <v>512</v>
      </c>
      <c r="N8" s="87">
        <f t="shared" si="0"/>
        <v>3742.7000000000003</v>
      </c>
    </row>
    <row r="9" spans="1:14" ht="15">
      <c r="A9" s="35" t="s">
        <v>88</v>
      </c>
      <c r="B9" s="124">
        <v>1445.7</v>
      </c>
      <c r="C9" s="124">
        <v>2097.6</v>
      </c>
      <c r="D9" s="124">
        <v>1666.9</v>
      </c>
      <c r="E9" s="124">
        <v>1319.2</v>
      </c>
      <c r="F9" s="124">
        <v>1161.3</v>
      </c>
      <c r="G9" s="124">
        <v>2714.4</v>
      </c>
      <c r="H9" s="124">
        <v>1370.9</v>
      </c>
      <c r="I9" s="124">
        <v>1549.2</v>
      </c>
      <c r="J9" s="124">
        <v>3203.8</v>
      </c>
      <c r="K9" s="124">
        <v>1171.6</v>
      </c>
      <c r="L9" s="126">
        <v>3218.3</v>
      </c>
      <c r="M9" s="124">
        <v>1851.6</v>
      </c>
      <c r="N9" s="87">
        <f t="shared" si="0"/>
        <v>22770.499999999996</v>
      </c>
    </row>
    <row r="10" spans="1:14" ht="15">
      <c r="A10" s="35" t="s">
        <v>89</v>
      </c>
      <c r="B10" s="124"/>
      <c r="C10" s="124"/>
      <c r="D10" s="124"/>
      <c r="E10" s="124"/>
      <c r="F10" s="124"/>
      <c r="G10" s="124"/>
      <c r="H10" s="124">
        <v>50</v>
      </c>
      <c r="I10" s="124"/>
      <c r="J10" s="124"/>
      <c r="K10" s="124"/>
      <c r="L10" s="126"/>
      <c r="M10" s="124"/>
      <c r="N10" s="87">
        <f t="shared" si="0"/>
        <v>50</v>
      </c>
    </row>
    <row r="11" spans="1:14" ht="15">
      <c r="A11" s="35" t="s">
        <v>90</v>
      </c>
      <c r="B11" s="124">
        <v>1949.6</v>
      </c>
      <c r="C11" s="124">
        <v>30910.6</v>
      </c>
      <c r="D11" s="124">
        <v>2506.3</v>
      </c>
      <c r="E11" s="124">
        <v>2504.8</v>
      </c>
      <c r="F11" s="124">
        <v>1504.5</v>
      </c>
      <c r="G11" s="124">
        <v>6764.3</v>
      </c>
      <c r="H11" s="124">
        <v>5324.4</v>
      </c>
      <c r="I11" s="124">
        <v>10368.4</v>
      </c>
      <c r="J11" s="124">
        <v>1655.9</v>
      </c>
      <c r="K11" s="124">
        <v>1209.3</v>
      </c>
      <c r="L11" s="126">
        <v>11034.1</v>
      </c>
      <c r="M11" s="124">
        <v>4071.6</v>
      </c>
      <c r="N11" s="87">
        <f t="shared" si="0"/>
        <v>79803.80000000002</v>
      </c>
    </row>
    <row r="12" spans="1:14" ht="15">
      <c r="A12" s="35" t="s">
        <v>91</v>
      </c>
      <c r="B12" s="124">
        <v>1499.8</v>
      </c>
      <c r="C12" s="124">
        <v>5535</v>
      </c>
      <c r="D12" s="124">
        <v>2927.3</v>
      </c>
      <c r="E12" s="124">
        <v>2358.6</v>
      </c>
      <c r="F12" s="124">
        <v>912.5</v>
      </c>
      <c r="G12" s="124">
        <v>5680.3</v>
      </c>
      <c r="H12" s="124">
        <v>1921.5</v>
      </c>
      <c r="I12" s="124">
        <v>2246.6</v>
      </c>
      <c r="J12" s="124">
        <v>894.4</v>
      </c>
      <c r="K12" s="124">
        <v>1785.5</v>
      </c>
      <c r="L12" s="126">
        <v>1605.6</v>
      </c>
      <c r="M12" s="124">
        <v>1656.6</v>
      </c>
      <c r="N12" s="87">
        <f t="shared" si="0"/>
        <v>29023.699999999997</v>
      </c>
    </row>
    <row r="13" spans="1:14" ht="15">
      <c r="A13" s="35" t="s">
        <v>92</v>
      </c>
      <c r="B13" s="124"/>
      <c r="C13" s="124">
        <v>56351.1</v>
      </c>
      <c r="D13" s="124"/>
      <c r="E13" s="124"/>
      <c r="F13" s="124"/>
      <c r="G13" s="124">
        <v>19620</v>
      </c>
      <c r="H13" s="124"/>
      <c r="I13" s="124"/>
      <c r="J13" s="124"/>
      <c r="K13" s="124"/>
      <c r="L13" s="126"/>
      <c r="M13" s="124"/>
      <c r="N13" s="87">
        <f t="shared" si="0"/>
        <v>75971.1</v>
      </c>
    </row>
    <row r="14" spans="1:14" ht="15">
      <c r="A14" s="35" t="s">
        <v>93</v>
      </c>
      <c r="B14" s="124"/>
      <c r="C14" s="124">
        <v>806.9</v>
      </c>
      <c r="D14" s="124">
        <v>72.1</v>
      </c>
      <c r="E14" s="124"/>
      <c r="F14" s="124"/>
      <c r="G14" s="124">
        <v>44.2</v>
      </c>
      <c r="H14" s="124"/>
      <c r="I14" s="124">
        <v>4000</v>
      </c>
      <c r="J14" s="124"/>
      <c r="K14" s="124"/>
      <c r="L14" s="126"/>
      <c r="M14" s="124"/>
      <c r="N14" s="87">
        <f t="shared" si="0"/>
        <v>4923.2</v>
      </c>
    </row>
    <row r="15" spans="1:14" ht="15">
      <c r="A15" s="35" t="s">
        <v>94</v>
      </c>
      <c r="B15" s="124">
        <v>1757</v>
      </c>
      <c r="C15" s="124">
        <v>74.5</v>
      </c>
      <c r="D15" s="124">
        <v>2638.5</v>
      </c>
      <c r="E15" s="124">
        <v>1570.7</v>
      </c>
      <c r="F15" s="124">
        <v>1278.2</v>
      </c>
      <c r="G15" s="124">
        <v>6886.7</v>
      </c>
      <c r="H15" s="124">
        <v>1804.9</v>
      </c>
      <c r="I15" s="124">
        <v>1052.4</v>
      </c>
      <c r="J15" s="124">
        <v>2822.4</v>
      </c>
      <c r="K15" s="124">
        <v>280</v>
      </c>
      <c r="L15" s="126">
        <v>2276.3</v>
      </c>
      <c r="M15" s="124">
        <v>1249.9</v>
      </c>
      <c r="N15" s="87">
        <f t="shared" si="0"/>
        <v>23691.5</v>
      </c>
    </row>
    <row r="16" spans="1:14" ht="15">
      <c r="A16" s="35" t="s">
        <v>95</v>
      </c>
      <c r="B16" s="124"/>
      <c r="C16" s="124"/>
      <c r="D16" s="124"/>
      <c r="E16" s="124"/>
      <c r="F16" s="124"/>
      <c r="G16" s="124"/>
      <c r="H16" s="124"/>
      <c r="I16" s="124">
        <v>1030</v>
      </c>
      <c r="J16" s="124"/>
      <c r="K16" s="124"/>
      <c r="L16" s="126"/>
      <c r="M16" s="124"/>
      <c r="N16" s="87">
        <f t="shared" si="0"/>
        <v>1030</v>
      </c>
    </row>
    <row r="17" spans="1:14" ht="15">
      <c r="A17" s="35" t="s">
        <v>96</v>
      </c>
      <c r="B17" s="124">
        <v>60</v>
      </c>
      <c r="C17" s="124">
        <v>120</v>
      </c>
      <c r="D17" s="124">
        <v>102.1</v>
      </c>
      <c r="E17" s="124">
        <v>189.8</v>
      </c>
      <c r="F17" s="124">
        <v>180</v>
      </c>
      <c r="G17" s="124">
        <v>240</v>
      </c>
      <c r="H17" s="124">
        <v>120</v>
      </c>
      <c r="I17" s="124">
        <v>60</v>
      </c>
      <c r="J17" s="124">
        <v>120</v>
      </c>
      <c r="K17" s="124">
        <v>165.9</v>
      </c>
      <c r="L17" s="126">
        <v>120</v>
      </c>
      <c r="M17" s="124">
        <v>130</v>
      </c>
      <c r="N17" s="87">
        <f t="shared" si="0"/>
        <v>1607.8000000000002</v>
      </c>
    </row>
    <row r="18" spans="1:14" ht="15">
      <c r="A18" s="35" t="s">
        <v>97</v>
      </c>
      <c r="B18" s="124">
        <v>516.9</v>
      </c>
      <c r="C18" s="124">
        <v>67.3</v>
      </c>
      <c r="D18" s="124">
        <v>380.1</v>
      </c>
      <c r="E18" s="124">
        <v>102.4</v>
      </c>
      <c r="F18" s="124">
        <v>229.4</v>
      </c>
      <c r="G18" s="124">
        <v>321.9</v>
      </c>
      <c r="H18" s="124">
        <v>173.7</v>
      </c>
      <c r="I18" s="124">
        <v>443.3</v>
      </c>
      <c r="J18" s="124">
        <v>587.5</v>
      </c>
      <c r="K18" s="124">
        <v>200.5</v>
      </c>
      <c r="L18" s="126">
        <v>330.5</v>
      </c>
      <c r="M18" s="124">
        <v>212.7</v>
      </c>
      <c r="N18" s="87">
        <f t="shared" si="0"/>
        <v>3566.2</v>
      </c>
    </row>
    <row r="19" spans="1:14" ht="15">
      <c r="A19" s="35" t="s">
        <v>98</v>
      </c>
      <c r="B19" s="124">
        <v>3368.6</v>
      </c>
      <c r="C19" s="124">
        <v>9392.4</v>
      </c>
      <c r="D19" s="124">
        <v>1478</v>
      </c>
      <c r="E19" s="124">
        <v>1559.9</v>
      </c>
      <c r="F19" s="124">
        <v>144.3</v>
      </c>
      <c r="G19" s="124">
        <v>1472.7</v>
      </c>
      <c r="H19" s="124">
        <v>1354.2</v>
      </c>
      <c r="I19" s="124">
        <v>1692.7</v>
      </c>
      <c r="J19" s="124">
        <v>828.5</v>
      </c>
      <c r="K19" s="124">
        <v>153.3</v>
      </c>
      <c r="L19" s="126">
        <v>2200.4</v>
      </c>
      <c r="M19" s="124">
        <v>592.7</v>
      </c>
      <c r="N19" s="87">
        <f t="shared" si="0"/>
        <v>24237.7</v>
      </c>
    </row>
    <row r="20" spans="1:14" ht="15">
      <c r="A20" s="35" t="s">
        <v>99</v>
      </c>
      <c r="B20" s="123">
        <v>1306.1</v>
      </c>
      <c r="C20" s="123">
        <v>1158</v>
      </c>
      <c r="D20" s="123">
        <v>858</v>
      </c>
      <c r="E20" s="123">
        <v>995.4</v>
      </c>
      <c r="F20" s="123">
        <v>864.2</v>
      </c>
      <c r="G20" s="123">
        <v>7064</v>
      </c>
      <c r="H20" s="123">
        <v>1558.6</v>
      </c>
      <c r="I20" s="123">
        <v>657.2</v>
      </c>
      <c r="J20" s="123">
        <v>966.2</v>
      </c>
      <c r="K20" s="123">
        <v>266.5</v>
      </c>
      <c r="L20" s="125">
        <v>2580.6</v>
      </c>
      <c r="M20" s="123">
        <v>975.7</v>
      </c>
      <c r="N20" s="88">
        <f t="shared" si="0"/>
        <v>19250.500000000004</v>
      </c>
    </row>
    <row r="21" spans="1:14" ht="15">
      <c r="A21" s="36" t="s">
        <v>100</v>
      </c>
      <c r="B21" s="88">
        <f aca="true" t="shared" si="1" ref="B21:M21">SUM(B4:B20)</f>
        <v>26734.6</v>
      </c>
      <c r="C21" s="88">
        <f t="shared" si="1"/>
        <v>131632.2</v>
      </c>
      <c r="D21" s="88">
        <f t="shared" si="1"/>
        <v>31429.599999999995</v>
      </c>
      <c r="E21" s="88">
        <f t="shared" si="1"/>
        <v>23282.200000000004</v>
      </c>
      <c r="F21" s="88">
        <f t="shared" si="1"/>
        <v>20666.500000000004</v>
      </c>
      <c r="G21" s="88">
        <f t="shared" si="1"/>
        <v>73965.40000000001</v>
      </c>
      <c r="H21" s="88">
        <f t="shared" si="1"/>
        <v>29887.300000000003</v>
      </c>
      <c r="I21" s="88">
        <f t="shared" si="1"/>
        <v>39369.299999999996</v>
      </c>
      <c r="J21" s="88">
        <f t="shared" si="1"/>
        <v>35004.399999999994</v>
      </c>
      <c r="K21" s="88">
        <f t="shared" si="1"/>
        <v>12948.499999999998</v>
      </c>
      <c r="L21" s="88">
        <f t="shared" si="1"/>
        <v>44489.4</v>
      </c>
      <c r="M21" s="88">
        <f t="shared" si="1"/>
        <v>23489.5</v>
      </c>
      <c r="N21" s="88">
        <f>SUM(B21:M21)</f>
        <v>492898.9</v>
      </c>
    </row>
    <row r="22" spans="2:14" ht="1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90"/>
    </row>
    <row r="23" spans="1:16" ht="15">
      <c r="A23" s="106" t="s">
        <v>101</v>
      </c>
      <c r="B23" s="90">
        <f>SUM(B4+B6)</f>
        <v>13922.8</v>
      </c>
      <c r="C23" s="90">
        <f>SUM(C4+C6+C32+C33)</f>
        <v>47904.1</v>
      </c>
      <c r="D23" s="90">
        <f aca="true" t="shared" si="2" ref="D23:L23">SUM(D4+D6)</f>
        <v>18166.3</v>
      </c>
      <c r="E23" s="90">
        <f t="shared" si="2"/>
        <v>12048.099999999999</v>
      </c>
      <c r="F23" s="90">
        <f t="shared" si="2"/>
        <v>13601.900000000001</v>
      </c>
      <c r="G23" s="90">
        <f>SUM(G4+G6+G32+G33)</f>
        <v>34889.3</v>
      </c>
      <c r="H23" s="90">
        <f t="shared" si="2"/>
        <v>15464.1</v>
      </c>
      <c r="I23" s="90">
        <f t="shared" si="2"/>
        <v>15503.4</v>
      </c>
      <c r="J23" s="90">
        <f t="shared" si="2"/>
        <v>23116.399999999998</v>
      </c>
      <c r="K23" s="90">
        <f t="shared" si="2"/>
        <v>6818.299999999999</v>
      </c>
      <c r="L23" s="90">
        <f t="shared" si="2"/>
        <v>19927.699999999997</v>
      </c>
      <c r="M23" s="90">
        <f>SUM(M4+M6)</f>
        <v>11845.4</v>
      </c>
      <c r="N23" s="89"/>
      <c r="O23" s="37"/>
      <c r="P23" s="37"/>
    </row>
    <row r="24" spans="1:16" ht="15">
      <c r="A24" s="107">
        <v>223</v>
      </c>
      <c r="B24" s="90">
        <f>SUM(B9)</f>
        <v>1445.7</v>
      </c>
      <c r="C24" s="90">
        <f>SUM(C9+C34)</f>
        <v>3686.5</v>
      </c>
      <c r="D24" s="90">
        <f aca="true" t="shared" si="3" ref="D24:L24">SUM(D9)</f>
        <v>1666.9</v>
      </c>
      <c r="E24" s="90">
        <f t="shared" si="3"/>
        <v>1319.2</v>
      </c>
      <c r="F24" s="90">
        <f t="shared" si="3"/>
        <v>1161.3</v>
      </c>
      <c r="G24" s="90">
        <f>SUM(G9+G34)</f>
        <v>5253</v>
      </c>
      <c r="H24" s="90">
        <f t="shared" si="3"/>
        <v>1370.9</v>
      </c>
      <c r="I24" s="90">
        <f t="shared" si="3"/>
        <v>1549.2</v>
      </c>
      <c r="J24" s="90">
        <f t="shared" si="3"/>
        <v>3203.8</v>
      </c>
      <c r="K24" s="90">
        <f t="shared" si="3"/>
        <v>1171.6</v>
      </c>
      <c r="L24" s="90">
        <f t="shared" si="3"/>
        <v>3218.3</v>
      </c>
      <c r="M24" s="90">
        <f>SUM(M9+M34)</f>
        <v>1851.6</v>
      </c>
      <c r="N24" s="90"/>
      <c r="O24" s="38"/>
      <c r="P24" s="37"/>
    </row>
    <row r="25" spans="1:16" ht="15">
      <c r="A25" s="107" t="s">
        <v>102</v>
      </c>
      <c r="B25" s="90">
        <f>SUM(B23/B21)</f>
        <v>0.5207783172368392</v>
      </c>
      <c r="C25" s="90">
        <f aca="true" t="shared" si="4" ref="C25:M25">SUM(C23/C21)</f>
        <v>0.3639238727302286</v>
      </c>
      <c r="D25" s="90">
        <f t="shared" si="4"/>
        <v>0.5779997200091634</v>
      </c>
      <c r="E25" s="90">
        <f t="shared" si="4"/>
        <v>0.5174811658692047</v>
      </c>
      <c r="F25" s="90">
        <f t="shared" si="4"/>
        <v>0.6581617593690271</v>
      </c>
      <c r="G25" s="90">
        <f t="shared" si="4"/>
        <v>0.4716975775159737</v>
      </c>
      <c r="H25" s="90">
        <f t="shared" si="4"/>
        <v>0.5174137509912237</v>
      </c>
      <c r="I25" s="90">
        <f t="shared" si="4"/>
        <v>0.39379414924827216</v>
      </c>
      <c r="J25" s="90">
        <f t="shared" si="4"/>
        <v>0.6603855515306648</v>
      </c>
      <c r="K25" s="90">
        <f t="shared" si="4"/>
        <v>0.5265706452484844</v>
      </c>
      <c r="L25" s="90">
        <f t="shared" si="4"/>
        <v>0.4479201787392052</v>
      </c>
      <c r="M25" s="90">
        <f t="shared" si="4"/>
        <v>0.5042848932501756</v>
      </c>
      <c r="N25" s="91">
        <f>SUM(B25:M25)</f>
        <v>6.160411581738463</v>
      </c>
      <c r="O25" s="39">
        <f>SUM(N25/12)</f>
        <v>0.5133676318115385</v>
      </c>
      <c r="P25" s="40" t="s">
        <v>102</v>
      </c>
    </row>
    <row r="26" spans="1:19" ht="15">
      <c r="A26" s="107" t="s">
        <v>103</v>
      </c>
      <c r="B26" s="90">
        <f>SUM(B24/B21)</f>
        <v>0.054075991411878244</v>
      </c>
      <c r="C26" s="90">
        <f aca="true" t="shared" si="5" ref="C26:M26">SUM(C24/C21)</f>
        <v>0.028006065385217292</v>
      </c>
      <c r="D26" s="90">
        <f t="shared" si="5"/>
        <v>0.05303599154936749</v>
      </c>
      <c r="E26" s="90">
        <f t="shared" si="5"/>
        <v>0.05666131207531933</v>
      </c>
      <c r="F26" s="90">
        <f t="shared" si="5"/>
        <v>0.05619238864829554</v>
      </c>
      <c r="G26" s="90">
        <f t="shared" si="5"/>
        <v>0.07101969299158795</v>
      </c>
      <c r="H26" s="90">
        <f t="shared" si="5"/>
        <v>0.04586898113914606</v>
      </c>
      <c r="I26" s="90">
        <f t="shared" si="5"/>
        <v>0.03935045835206621</v>
      </c>
      <c r="J26" s="90">
        <f t="shared" si="5"/>
        <v>0.0915256367770909</v>
      </c>
      <c r="K26" s="90">
        <f t="shared" si="5"/>
        <v>0.090481522956327</v>
      </c>
      <c r="L26" s="90">
        <f t="shared" si="5"/>
        <v>0.07233857952680864</v>
      </c>
      <c r="M26" s="90">
        <f t="shared" si="5"/>
        <v>0.07882670980650928</v>
      </c>
      <c r="N26" s="91">
        <f>SUM(B26:M26)</f>
        <v>0.737383330619614</v>
      </c>
      <c r="O26" s="39">
        <f>SUM(N26/12)</f>
        <v>0.061448610884967836</v>
      </c>
      <c r="P26" s="40" t="s">
        <v>103</v>
      </c>
      <c r="S26" s="109"/>
    </row>
    <row r="27" spans="1:16" ht="1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37"/>
      <c r="P27" s="37"/>
    </row>
    <row r="28" spans="1:16" ht="1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37"/>
      <c r="P28" s="37"/>
    </row>
    <row r="29" spans="1:14" ht="15">
      <c r="A29" s="89" t="s">
        <v>125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4" ht="15">
      <c r="A30" s="92">
        <v>241</v>
      </c>
      <c r="B30" s="92"/>
      <c r="C30" s="93">
        <f>C13</f>
        <v>56351.1</v>
      </c>
      <c r="D30" s="92"/>
      <c r="E30" s="92"/>
      <c r="F30" s="92"/>
      <c r="G30" s="93">
        <f>G13</f>
        <v>19620</v>
      </c>
      <c r="H30" s="92"/>
      <c r="I30" s="92"/>
      <c r="J30" s="92"/>
      <c r="K30" s="92"/>
      <c r="L30" s="92"/>
      <c r="M30" s="92"/>
      <c r="N30" s="93">
        <f>C30+G30</f>
        <v>75971.1</v>
      </c>
    </row>
    <row r="31" spans="1:14" ht="15">
      <c r="A31" s="89" t="s">
        <v>126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ht="15">
      <c r="A32" s="92">
        <v>211</v>
      </c>
      <c r="B32" s="92"/>
      <c r="C32" s="92">
        <v>18293.6</v>
      </c>
      <c r="D32" s="92"/>
      <c r="E32" s="92"/>
      <c r="F32" s="92"/>
      <c r="G32" s="92">
        <v>10982.6</v>
      </c>
      <c r="H32" s="92"/>
      <c r="I32" s="92"/>
      <c r="J32" s="92"/>
      <c r="K32" s="92"/>
      <c r="L32" s="92"/>
      <c r="M32" s="92"/>
      <c r="N32" s="92"/>
    </row>
    <row r="33" spans="1:14" ht="15">
      <c r="A33" s="92">
        <v>213</v>
      </c>
      <c r="B33" s="92"/>
      <c r="C33" s="92">
        <v>5453.1</v>
      </c>
      <c r="D33" s="92"/>
      <c r="E33" s="92"/>
      <c r="F33" s="92"/>
      <c r="G33" s="92">
        <v>3179.1</v>
      </c>
      <c r="H33" s="92"/>
      <c r="I33" s="92"/>
      <c r="J33" s="92"/>
      <c r="K33" s="92"/>
      <c r="L33" s="92"/>
      <c r="M33" s="92"/>
      <c r="N33" s="92"/>
    </row>
    <row r="34" spans="1:14" ht="15">
      <c r="A34" s="92">
        <v>223</v>
      </c>
      <c r="B34" s="92"/>
      <c r="C34" s="92">
        <v>1588.9</v>
      </c>
      <c r="D34" s="92"/>
      <c r="E34" s="92"/>
      <c r="F34" s="92"/>
      <c r="G34" s="92">
        <v>2538.6</v>
      </c>
      <c r="H34" s="92"/>
      <c r="I34" s="92"/>
      <c r="J34" s="92"/>
      <c r="K34" s="92"/>
      <c r="L34" s="92"/>
      <c r="M34" s="92"/>
      <c r="N34" s="92"/>
    </row>
    <row r="35" spans="1:7" ht="15">
      <c r="A35" s="89"/>
      <c r="C35">
        <f>SUM(C32:C34)</f>
        <v>25335.6</v>
      </c>
      <c r="G35">
        <f>SUM(G32:G34)</f>
        <v>16700.3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PageLayoutView="0" workbookViewId="0" topLeftCell="A3">
      <selection activeCell="N38" sqref="N38"/>
    </sheetView>
  </sheetViews>
  <sheetFormatPr defaultColWidth="9.140625" defaultRowHeight="15"/>
  <cols>
    <col min="1" max="1" width="10.421875" style="0" customWidth="1"/>
    <col min="2" max="2" width="12.00390625" style="0" customWidth="1"/>
    <col min="3" max="3" width="11.421875" style="0" customWidth="1"/>
    <col min="4" max="4" width="11.421875" style="0" bestFit="1" customWidth="1"/>
    <col min="5" max="5" width="11.421875" style="0" customWidth="1"/>
    <col min="6" max="10" width="11.421875" style="0" bestFit="1" customWidth="1"/>
    <col min="11" max="11" width="8.8515625" style="0" customWidth="1"/>
    <col min="12" max="13" width="11.421875" style="0" bestFit="1" customWidth="1"/>
    <col min="14" max="14" width="10.8515625" style="0" bestFit="1" customWidth="1"/>
    <col min="16" max="16" width="11.8515625" style="0" bestFit="1" customWidth="1"/>
  </cols>
  <sheetData>
    <row r="1" spans="1:14" ht="18.75">
      <c r="A1" s="148" t="s">
        <v>134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30">
      <c r="A2" s="94" t="s">
        <v>104</v>
      </c>
      <c r="B2" s="95" t="s">
        <v>80</v>
      </c>
      <c r="C2" s="99" t="s">
        <v>1</v>
      </c>
      <c r="D2" s="95" t="s">
        <v>9</v>
      </c>
      <c r="E2" s="99" t="s">
        <v>7</v>
      </c>
      <c r="F2" s="95" t="s">
        <v>10</v>
      </c>
      <c r="G2" s="95" t="s">
        <v>14</v>
      </c>
      <c r="H2" s="95" t="s">
        <v>81</v>
      </c>
      <c r="I2" s="95" t="s">
        <v>2</v>
      </c>
      <c r="J2" s="95" t="s">
        <v>6</v>
      </c>
      <c r="K2" s="95" t="s">
        <v>11</v>
      </c>
      <c r="L2" s="95" t="s">
        <v>3</v>
      </c>
      <c r="M2" s="95" t="s">
        <v>4</v>
      </c>
      <c r="N2" s="95" t="s">
        <v>82</v>
      </c>
    </row>
    <row r="3" spans="1:16" ht="15.75">
      <c r="A3" s="96" t="s">
        <v>105</v>
      </c>
      <c r="B3" s="118">
        <v>12155.6</v>
      </c>
      <c r="C3" s="118">
        <v>24643.8</v>
      </c>
      <c r="D3" s="118">
        <v>13825.8</v>
      </c>
      <c r="E3" s="118">
        <v>9694.8</v>
      </c>
      <c r="F3" s="118">
        <v>10084.3</v>
      </c>
      <c r="G3" s="118">
        <v>22293.1</v>
      </c>
      <c r="H3" s="118">
        <v>10865</v>
      </c>
      <c r="I3" s="118">
        <v>11211</v>
      </c>
      <c r="J3" s="118">
        <v>14693.9</v>
      </c>
      <c r="K3" s="118">
        <v>5911.2</v>
      </c>
      <c r="L3" s="119">
        <v>16035.7</v>
      </c>
      <c r="M3" s="118">
        <v>10985</v>
      </c>
      <c r="N3" s="117">
        <f>SUM(B3:M3)</f>
        <v>162399.2</v>
      </c>
      <c r="O3" s="44"/>
      <c r="P3" s="111"/>
    </row>
    <row r="4" spans="1:16" ht="15.75">
      <c r="A4" s="96" t="s">
        <v>127</v>
      </c>
      <c r="B4" s="120">
        <v>138</v>
      </c>
      <c r="C4" s="120">
        <v>905</v>
      </c>
      <c r="D4" s="120">
        <v>75.5</v>
      </c>
      <c r="E4" s="120">
        <v>152.1</v>
      </c>
      <c r="F4" s="120">
        <v>144.3</v>
      </c>
      <c r="G4" s="120">
        <v>462.3</v>
      </c>
      <c r="H4" s="120">
        <v>104</v>
      </c>
      <c r="I4" s="120">
        <v>144.3</v>
      </c>
      <c r="J4" s="120">
        <v>143.1</v>
      </c>
      <c r="K4" s="120">
        <v>147</v>
      </c>
      <c r="L4" s="121">
        <v>117.8</v>
      </c>
      <c r="M4" s="120">
        <v>145.7</v>
      </c>
      <c r="N4" s="117">
        <f aca="true" t="shared" si="0" ref="N4:N12">SUM(B4:M4)</f>
        <v>2679.1</v>
      </c>
      <c r="O4" s="44"/>
      <c r="P4" s="111"/>
    </row>
    <row r="5" spans="1:16" ht="15.75">
      <c r="A5" s="96" t="s">
        <v>106</v>
      </c>
      <c r="B5" s="120">
        <v>759.6</v>
      </c>
      <c r="C5" s="120">
        <v>2943.8</v>
      </c>
      <c r="D5" s="120">
        <v>405.2</v>
      </c>
      <c r="E5" s="120">
        <v>343.3</v>
      </c>
      <c r="F5" s="120">
        <v>229</v>
      </c>
      <c r="G5" s="120">
        <v>2566.5</v>
      </c>
      <c r="H5" s="120">
        <v>487.6</v>
      </c>
      <c r="I5" s="120">
        <v>1503.1</v>
      </c>
      <c r="J5" s="120">
        <v>341.9</v>
      </c>
      <c r="K5" s="120">
        <v>104.5</v>
      </c>
      <c r="L5" s="121">
        <v>678.8</v>
      </c>
      <c r="M5" s="120">
        <v>2004.2</v>
      </c>
      <c r="N5" s="117">
        <f t="shared" si="0"/>
        <v>12367.5</v>
      </c>
      <c r="O5" s="44"/>
      <c r="P5" s="111"/>
    </row>
    <row r="6" spans="1:16" ht="15.75">
      <c r="A6" s="96" t="s">
        <v>107</v>
      </c>
      <c r="B6" s="120">
        <v>2043.1</v>
      </c>
      <c r="C6" s="120">
        <v>12656.8</v>
      </c>
      <c r="D6" s="120">
        <v>2964.4</v>
      </c>
      <c r="E6" s="120">
        <v>2847.9</v>
      </c>
      <c r="F6" s="120">
        <v>2154.6</v>
      </c>
      <c r="G6" s="120">
        <v>9422.6</v>
      </c>
      <c r="H6" s="120">
        <v>3647.6</v>
      </c>
      <c r="I6" s="120">
        <v>8689.1</v>
      </c>
      <c r="J6" s="120">
        <v>2251.3</v>
      </c>
      <c r="K6" s="120">
        <v>937.9</v>
      </c>
      <c r="L6" s="121">
        <v>3856.1</v>
      </c>
      <c r="M6" s="120">
        <v>3438.7</v>
      </c>
      <c r="N6" s="117">
        <f t="shared" si="0"/>
        <v>54910.1</v>
      </c>
      <c r="O6" s="44"/>
      <c r="P6" s="111"/>
    </row>
    <row r="7" spans="1:16" ht="15.75">
      <c r="A7" s="96" t="s">
        <v>108</v>
      </c>
      <c r="B7" s="120">
        <v>2256.5</v>
      </c>
      <c r="C7" s="120">
        <v>60761.20126</v>
      </c>
      <c r="D7" s="120">
        <v>6046.8</v>
      </c>
      <c r="E7" s="120">
        <v>3996</v>
      </c>
      <c r="F7" s="120">
        <v>1762.7</v>
      </c>
      <c r="G7" s="120">
        <v>15422.6</v>
      </c>
      <c r="H7" s="120">
        <v>3577.9</v>
      </c>
      <c r="I7" s="120">
        <v>7295.8</v>
      </c>
      <c r="J7" s="120">
        <v>2036.8</v>
      </c>
      <c r="K7" s="120">
        <v>908.1</v>
      </c>
      <c r="L7" s="121">
        <v>13469.3</v>
      </c>
      <c r="M7" s="120">
        <v>2286.7</v>
      </c>
      <c r="N7" s="117">
        <f t="shared" si="0"/>
        <v>119820.40126000001</v>
      </c>
      <c r="O7" s="44"/>
      <c r="P7" s="111"/>
    </row>
    <row r="8" spans="1:16" ht="15.75">
      <c r="A8" s="96" t="s">
        <v>109</v>
      </c>
      <c r="B8" s="120"/>
      <c r="C8" s="120"/>
      <c r="D8" s="120"/>
      <c r="E8" s="120"/>
      <c r="F8" s="120"/>
      <c r="G8" s="120"/>
      <c r="H8" s="120"/>
      <c r="I8" s="120"/>
      <c r="J8" s="120"/>
      <c r="K8" s="120">
        <v>533.5</v>
      </c>
      <c r="L8" s="121"/>
      <c r="M8" s="120"/>
      <c r="N8" s="117">
        <f t="shared" si="0"/>
        <v>533.5</v>
      </c>
      <c r="O8" s="44"/>
      <c r="P8" s="111"/>
    </row>
    <row r="9" spans="1:16" ht="15.75">
      <c r="A9" s="96" t="s">
        <v>110</v>
      </c>
      <c r="B9" s="120">
        <v>524.3</v>
      </c>
      <c r="C9" s="120">
        <v>379.7</v>
      </c>
      <c r="D9" s="120">
        <v>624</v>
      </c>
      <c r="E9" s="120">
        <v>299.6</v>
      </c>
      <c r="F9" s="120">
        <v>488.8</v>
      </c>
      <c r="G9" s="120">
        <v>164.2</v>
      </c>
      <c r="H9" s="120">
        <v>475.3</v>
      </c>
      <c r="I9" s="120">
        <v>288.7</v>
      </c>
      <c r="J9" s="120">
        <v>635.9</v>
      </c>
      <c r="K9" s="120">
        <v>223.2</v>
      </c>
      <c r="L9" s="121">
        <v>1050.2</v>
      </c>
      <c r="M9" s="120">
        <v>322.7</v>
      </c>
      <c r="N9" s="117">
        <f t="shared" si="0"/>
        <v>5476.599999999999</v>
      </c>
      <c r="O9" s="44"/>
      <c r="P9" s="111"/>
    </row>
    <row r="10" spans="1:16" ht="15.75">
      <c r="A10" s="96" t="s">
        <v>111</v>
      </c>
      <c r="B10" s="120">
        <v>7639.8</v>
      </c>
      <c r="C10" s="120">
        <v>27889.9</v>
      </c>
      <c r="D10" s="120">
        <v>6856.9</v>
      </c>
      <c r="E10" s="120">
        <v>4714</v>
      </c>
      <c r="F10" s="120">
        <v>5063.8</v>
      </c>
      <c r="G10" s="120">
        <v>20937.5</v>
      </c>
      <c r="H10" s="120">
        <v>9928.5</v>
      </c>
      <c r="I10" s="120">
        <v>8559.7</v>
      </c>
      <c r="J10" s="120">
        <v>14009.6</v>
      </c>
      <c r="K10" s="120">
        <v>3738.2</v>
      </c>
      <c r="L10" s="121">
        <v>7905.8</v>
      </c>
      <c r="M10" s="120">
        <v>4085.5</v>
      </c>
      <c r="N10" s="117">
        <f t="shared" si="0"/>
        <v>121329.20000000001</v>
      </c>
      <c r="O10" s="44"/>
      <c r="P10" s="111"/>
    </row>
    <row r="11" spans="1:16" ht="15.75">
      <c r="A11" s="96" t="s">
        <v>112</v>
      </c>
      <c r="B11" s="120">
        <v>60</v>
      </c>
      <c r="C11" s="120">
        <v>120</v>
      </c>
      <c r="D11" s="120">
        <v>102.2</v>
      </c>
      <c r="E11" s="120">
        <v>269.8</v>
      </c>
      <c r="F11" s="120">
        <v>180</v>
      </c>
      <c r="G11" s="120">
        <v>240</v>
      </c>
      <c r="H11" s="120">
        <v>120</v>
      </c>
      <c r="I11" s="120">
        <v>1090</v>
      </c>
      <c r="J11" s="120">
        <v>120</v>
      </c>
      <c r="K11" s="120">
        <v>165.9</v>
      </c>
      <c r="L11" s="121">
        <v>120</v>
      </c>
      <c r="M11" s="120">
        <v>130</v>
      </c>
      <c r="N11" s="117">
        <f t="shared" si="0"/>
        <v>2717.9</v>
      </c>
      <c r="O11" s="44"/>
      <c r="P11" s="111"/>
    </row>
    <row r="12" spans="1:16" ht="15.75">
      <c r="A12" s="96" t="s">
        <v>113</v>
      </c>
      <c r="B12" s="120">
        <v>1157.7</v>
      </c>
      <c r="C12" s="120">
        <v>1332</v>
      </c>
      <c r="D12" s="120">
        <v>528.8</v>
      </c>
      <c r="E12" s="120">
        <v>964.7</v>
      </c>
      <c r="F12" s="120">
        <v>559</v>
      </c>
      <c r="G12" s="120">
        <v>2456.6</v>
      </c>
      <c r="H12" s="120">
        <v>681.4</v>
      </c>
      <c r="I12" s="120">
        <v>587.6</v>
      </c>
      <c r="J12" s="120">
        <v>771.9</v>
      </c>
      <c r="K12" s="120">
        <v>279</v>
      </c>
      <c r="L12" s="121">
        <v>1255.7</v>
      </c>
      <c r="M12" s="120">
        <v>91</v>
      </c>
      <c r="N12" s="117">
        <f t="shared" si="0"/>
        <v>10665.4</v>
      </c>
      <c r="O12" s="44"/>
      <c r="P12" s="111"/>
    </row>
    <row r="13" spans="1:16" ht="15.75">
      <c r="A13" s="97" t="s">
        <v>100</v>
      </c>
      <c r="B13" s="117">
        <f aca="true" t="shared" si="1" ref="B13:M13">SUM(B3:B12)</f>
        <v>26734.600000000002</v>
      </c>
      <c r="C13" s="117">
        <f t="shared" si="1"/>
        <v>131632.20126</v>
      </c>
      <c r="D13" s="117">
        <f t="shared" si="1"/>
        <v>31429.6</v>
      </c>
      <c r="E13" s="117">
        <f t="shared" si="1"/>
        <v>23282.199999999997</v>
      </c>
      <c r="F13" s="117">
        <f t="shared" si="1"/>
        <v>20666.5</v>
      </c>
      <c r="G13" s="117">
        <f t="shared" si="1"/>
        <v>73965.4</v>
      </c>
      <c r="H13" s="117">
        <f t="shared" si="1"/>
        <v>29887.300000000003</v>
      </c>
      <c r="I13" s="117">
        <f t="shared" si="1"/>
        <v>39369.299999999996</v>
      </c>
      <c r="J13" s="117">
        <f t="shared" si="1"/>
        <v>35004.4</v>
      </c>
      <c r="K13" s="117">
        <f t="shared" si="1"/>
        <v>12948.500000000002</v>
      </c>
      <c r="L13" s="117">
        <f t="shared" si="1"/>
        <v>44489.399999999994</v>
      </c>
      <c r="M13" s="117">
        <f t="shared" si="1"/>
        <v>23489.500000000004</v>
      </c>
      <c r="N13" s="117">
        <f>SUM(B13:M13)</f>
        <v>492898.9012600001</v>
      </c>
      <c r="O13" s="44"/>
      <c r="P13" s="111"/>
    </row>
    <row r="14" spans="1:14" ht="15.75">
      <c r="A14" s="98"/>
      <c r="B14" s="110">
        <v>26734.600000000002</v>
      </c>
      <c r="C14" s="110">
        <v>131632.20126</v>
      </c>
      <c r="D14" s="110">
        <v>31429.6</v>
      </c>
      <c r="E14" s="110">
        <v>23282.199999999997</v>
      </c>
      <c r="F14" s="110">
        <v>20666.5</v>
      </c>
      <c r="G14" s="110">
        <v>73965.4</v>
      </c>
      <c r="H14" s="110">
        <v>29887.300000000003</v>
      </c>
      <c r="I14" s="110">
        <v>39369.299999999996</v>
      </c>
      <c r="J14" s="110">
        <v>35004.4</v>
      </c>
      <c r="K14" s="110">
        <v>12948.500000000002</v>
      </c>
      <c r="L14" s="110">
        <v>44489.399999999994</v>
      </c>
      <c r="M14" s="110">
        <v>23489.500000000004</v>
      </c>
      <c r="N14" s="110">
        <v>492898.9012600001</v>
      </c>
    </row>
    <row r="15" spans="1:14" ht="18.75">
      <c r="A15" s="149" t="s">
        <v>117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6" ht="15">
      <c r="A16" s="69" t="s">
        <v>114</v>
      </c>
      <c r="B16" s="93">
        <f aca="true" t="shared" si="2" ref="B16:N16">SUM(B3+B10)</f>
        <v>19795.4</v>
      </c>
      <c r="C16" s="93">
        <f t="shared" si="2"/>
        <v>52533.7</v>
      </c>
      <c r="D16" s="93">
        <f t="shared" si="2"/>
        <v>20682.699999999997</v>
      </c>
      <c r="E16" s="93">
        <f t="shared" si="2"/>
        <v>14408.8</v>
      </c>
      <c r="F16" s="93">
        <f t="shared" si="2"/>
        <v>15148.099999999999</v>
      </c>
      <c r="G16" s="93">
        <f t="shared" si="2"/>
        <v>43230.6</v>
      </c>
      <c r="H16" s="93">
        <f t="shared" si="2"/>
        <v>20793.5</v>
      </c>
      <c r="I16" s="93">
        <f t="shared" si="2"/>
        <v>19770.7</v>
      </c>
      <c r="J16" s="93">
        <f t="shared" si="2"/>
        <v>28703.5</v>
      </c>
      <c r="K16" s="93">
        <f t="shared" si="2"/>
        <v>9649.4</v>
      </c>
      <c r="L16" s="93">
        <f t="shared" si="2"/>
        <v>23941.5</v>
      </c>
      <c r="M16" s="93">
        <f t="shared" si="2"/>
        <v>15070.5</v>
      </c>
      <c r="N16" s="93">
        <f t="shared" si="2"/>
        <v>283728.4</v>
      </c>
      <c r="O16" s="39">
        <f>SUM(N16/N13)</f>
        <v>0.5756320399065683</v>
      </c>
      <c r="P16" s="40" t="s">
        <v>115</v>
      </c>
    </row>
    <row r="17" spans="1:14" ht="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>
        <f>SUM(B16:M16)</f>
        <v>283728.4</v>
      </c>
    </row>
    <row r="18" spans="1:14" ht="1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8.75">
      <c r="A19" s="149" t="s">
        <v>118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ht="30">
      <c r="A20" s="99" t="s">
        <v>121</v>
      </c>
      <c r="B20" s="100" t="s">
        <v>80</v>
      </c>
      <c r="C20" s="100" t="s">
        <v>1</v>
      </c>
      <c r="D20" s="100" t="s">
        <v>9</v>
      </c>
      <c r="E20" s="100" t="s">
        <v>7</v>
      </c>
      <c r="F20" s="100" t="s">
        <v>10</v>
      </c>
      <c r="G20" s="100" t="s">
        <v>14</v>
      </c>
      <c r="H20" s="100" t="s">
        <v>81</v>
      </c>
      <c r="I20" s="100" t="s">
        <v>2</v>
      </c>
      <c r="J20" s="100" t="s">
        <v>6</v>
      </c>
      <c r="K20" s="100" t="s">
        <v>11</v>
      </c>
      <c r="L20" s="100" t="s">
        <v>3</v>
      </c>
      <c r="M20" s="100" t="s">
        <v>4</v>
      </c>
      <c r="N20" s="100" t="s">
        <v>82</v>
      </c>
    </row>
    <row r="21" spans="1:14" ht="15">
      <c r="A21" s="101" t="s">
        <v>135</v>
      </c>
      <c r="B21" s="127">
        <v>406</v>
      </c>
      <c r="C21" s="127">
        <v>808.8</v>
      </c>
      <c r="D21" s="88">
        <v>0</v>
      </c>
      <c r="E21" s="127">
        <v>1224.1</v>
      </c>
      <c r="F21" s="127">
        <v>330.1</v>
      </c>
      <c r="G21" s="88">
        <v>0</v>
      </c>
      <c r="H21" s="88">
        <v>0</v>
      </c>
      <c r="I21" s="127">
        <v>2589.4</v>
      </c>
      <c r="J21" s="127">
        <v>33.1</v>
      </c>
      <c r="K21" s="127">
        <v>30</v>
      </c>
      <c r="L21" s="127">
        <v>32.8</v>
      </c>
      <c r="M21" s="127">
        <v>267.1</v>
      </c>
      <c r="N21" s="88">
        <f>SUM(B21:M21)</f>
        <v>5721.400000000001</v>
      </c>
    </row>
    <row r="22" spans="1:14" ht="15">
      <c r="A22" s="101" t="s">
        <v>140</v>
      </c>
      <c r="B22" s="127"/>
      <c r="C22" s="127"/>
      <c r="D22" s="88"/>
      <c r="E22" s="127"/>
      <c r="F22" s="127"/>
      <c r="G22" s="88"/>
      <c r="H22" s="88">
        <v>99</v>
      </c>
      <c r="I22" s="127"/>
      <c r="J22" s="127"/>
      <c r="K22" s="127"/>
      <c r="L22" s="127"/>
      <c r="M22" s="127"/>
      <c r="N22" s="88">
        <f aca="true" t="shared" si="3" ref="N22:N29">SUM(B22:M22)</f>
        <v>99</v>
      </c>
    </row>
    <row r="23" spans="1:14" ht="15">
      <c r="A23" s="101" t="s">
        <v>141</v>
      </c>
      <c r="B23" s="127"/>
      <c r="C23" s="127"/>
      <c r="D23" s="88">
        <v>72.1</v>
      </c>
      <c r="E23" s="127"/>
      <c r="F23" s="127"/>
      <c r="G23" s="88"/>
      <c r="H23" s="88"/>
      <c r="I23" s="127"/>
      <c r="J23" s="127"/>
      <c r="K23" s="127"/>
      <c r="L23" s="127"/>
      <c r="M23" s="127"/>
      <c r="N23" s="88">
        <f t="shared" si="3"/>
        <v>72.1</v>
      </c>
    </row>
    <row r="24" spans="1:14" ht="15">
      <c r="A24" s="101" t="s">
        <v>142</v>
      </c>
      <c r="B24" s="127"/>
      <c r="C24" s="127">
        <v>121.5</v>
      </c>
      <c r="D24" s="88"/>
      <c r="E24" s="127"/>
      <c r="F24" s="127"/>
      <c r="G24" s="88"/>
      <c r="H24" s="88"/>
      <c r="I24" s="127"/>
      <c r="J24" s="127"/>
      <c r="K24" s="127"/>
      <c r="L24" s="127"/>
      <c r="M24" s="127"/>
      <c r="N24" s="88">
        <f t="shared" si="3"/>
        <v>121.5</v>
      </c>
    </row>
    <row r="25" spans="1:14" ht="15">
      <c r="A25" s="101" t="s">
        <v>143</v>
      </c>
      <c r="B25" s="127"/>
      <c r="C25" s="127">
        <v>362.3</v>
      </c>
      <c r="D25" s="88"/>
      <c r="E25" s="127"/>
      <c r="F25" s="127"/>
      <c r="G25" s="88"/>
      <c r="H25" s="88"/>
      <c r="I25" s="127"/>
      <c r="J25" s="127"/>
      <c r="K25" s="127"/>
      <c r="L25" s="127"/>
      <c r="M25" s="127"/>
      <c r="N25" s="88">
        <f t="shared" si="3"/>
        <v>362.3</v>
      </c>
    </row>
    <row r="26" spans="1:14" ht="15">
      <c r="A26" s="101" t="s">
        <v>144</v>
      </c>
      <c r="B26" s="127"/>
      <c r="C26" s="127">
        <v>224.7</v>
      </c>
      <c r="D26" s="88"/>
      <c r="E26" s="127"/>
      <c r="F26" s="127"/>
      <c r="G26" s="88"/>
      <c r="H26" s="88"/>
      <c r="I26" s="127"/>
      <c r="J26" s="127"/>
      <c r="K26" s="127"/>
      <c r="L26" s="127"/>
      <c r="M26" s="127"/>
      <c r="N26" s="88">
        <f t="shared" si="3"/>
        <v>224.7</v>
      </c>
    </row>
    <row r="27" spans="1:14" ht="15">
      <c r="A27" s="101" t="s">
        <v>145</v>
      </c>
      <c r="B27" s="127"/>
      <c r="C27" s="127"/>
      <c r="D27" s="88"/>
      <c r="E27" s="127"/>
      <c r="F27" s="127"/>
      <c r="G27" s="88"/>
      <c r="H27" s="88"/>
      <c r="I27" s="127">
        <v>1500</v>
      </c>
      <c r="J27" s="127"/>
      <c r="K27" s="127"/>
      <c r="L27" s="127"/>
      <c r="M27" s="127"/>
      <c r="N27" s="88">
        <f t="shared" si="3"/>
        <v>1500</v>
      </c>
    </row>
    <row r="28" spans="1:14" ht="15">
      <c r="A28" s="101" t="s">
        <v>146</v>
      </c>
      <c r="B28" s="127"/>
      <c r="C28" s="127">
        <v>95.3</v>
      </c>
      <c r="D28" s="88">
        <v>1138.9</v>
      </c>
      <c r="E28" s="127"/>
      <c r="F28" s="127"/>
      <c r="G28" s="88">
        <v>1572.4</v>
      </c>
      <c r="H28" s="88">
        <v>1345.5</v>
      </c>
      <c r="I28" s="127">
        <v>24.6</v>
      </c>
      <c r="J28" s="127">
        <v>54.8</v>
      </c>
      <c r="K28" s="127"/>
      <c r="L28" s="127">
        <v>197.4</v>
      </c>
      <c r="M28" s="127"/>
      <c r="N28" s="88">
        <f t="shared" si="3"/>
        <v>4428.900000000001</v>
      </c>
    </row>
    <row r="29" spans="1:14" ht="15">
      <c r="A29" s="101" t="s">
        <v>147</v>
      </c>
      <c r="B29" s="88"/>
      <c r="C29" s="88"/>
      <c r="D29" s="88"/>
      <c r="E29" s="88"/>
      <c r="F29" s="88"/>
      <c r="G29" s="88">
        <v>44.2</v>
      </c>
      <c r="H29" s="88"/>
      <c r="I29" s="88"/>
      <c r="J29" s="88"/>
      <c r="K29" s="88"/>
      <c r="L29" s="88"/>
      <c r="M29" s="88"/>
      <c r="N29" s="88">
        <f t="shared" si="3"/>
        <v>44.2</v>
      </c>
    </row>
    <row r="30" spans="1:16" ht="15">
      <c r="A30" s="97" t="s">
        <v>100</v>
      </c>
      <c r="B30" s="102">
        <f>SUM(B21:B29)</f>
        <v>406</v>
      </c>
      <c r="C30" s="102">
        <f aca="true" t="shared" si="4" ref="C30:M30">SUM(C21:C29)</f>
        <v>1612.6</v>
      </c>
      <c r="D30" s="102">
        <f t="shared" si="4"/>
        <v>1211</v>
      </c>
      <c r="E30" s="102">
        <f t="shared" si="4"/>
        <v>1224.1</v>
      </c>
      <c r="F30" s="102">
        <f t="shared" si="4"/>
        <v>330.1</v>
      </c>
      <c r="G30" s="102">
        <f t="shared" si="4"/>
        <v>1616.6000000000001</v>
      </c>
      <c r="H30" s="102">
        <f t="shared" si="4"/>
        <v>1444.5</v>
      </c>
      <c r="I30" s="102">
        <f t="shared" si="4"/>
        <v>4114</v>
      </c>
      <c r="J30" s="102">
        <f t="shared" si="4"/>
        <v>87.9</v>
      </c>
      <c r="K30" s="102">
        <f t="shared" si="4"/>
        <v>30</v>
      </c>
      <c r="L30" s="102">
        <f t="shared" si="4"/>
        <v>230.2</v>
      </c>
      <c r="M30" s="102">
        <f t="shared" si="4"/>
        <v>267.1</v>
      </c>
      <c r="N30" s="102">
        <f>SUM(B30:M30)</f>
        <v>12574.100000000002</v>
      </c>
      <c r="O30" s="43">
        <f>SUM(N30/N13)</f>
        <v>0.025510505233135566</v>
      </c>
      <c r="P30" s="40" t="s">
        <v>116</v>
      </c>
    </row>
    <row r="31" spans="1:14" ht="1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14" ht="1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</row>
    <row r="33" spans="1:14" ht="18.75">
      <c r="A33" s="149" t="s">
        <v>119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</row>
    <row r="34" spans="1:14" ht="15">
      <c r="A34" s="100"/>
      <c r="B34" s="100" t="s">
        <v>80</v>
      </c>
      <c r="C34" s="100" t="s">
        <v>1</v>
      </c>
      <c r="D34" s="100" t="s">
        <v>9</v>
      </c>
      <c r="E34" s="100" t="s">
        <v>7</v>
      </c>
      <c r="F34" s="100" t="s">
        <v>10</v>
      </c>
      <c r="G34" s="100" t="s">
        <v>14</v>
      </c>
      <c r="H34" s="100" t="s">
        <v>81</v>
      </c>
      <c r="I34" s="100" t="s">
        <v>2</v>
      </c>
      <c r="J34" s="100" t="s">
        <v>6</v>
      </c>
      <c r="K34" s="100" t="s">
        <v>11</v>
      </c>
      <c r="L34" s="100" t="s">
        <v>3</v>
      </c>
      <c r="M34" s="100" t="s">
        <v>4</v>
      </c>
      <c r="N34" s="100" t="s">
        <v>82</v>
      </c>
    </row>
    <row r="35" spans="1:16" ht="15">
      <c r="A35" s="103"/>
      <c r="B35" s="104">
        <f aca="true" t="shared" si="5" ref="B35:M35">SUM(B13-B16-B30)</f>
        <v>6533.200000000001</v>
      </c>
      <c r="C35" s="104">
        <f t="shared" si="5"/>
        <v>77485.90126</v>
      </c>
      <c r="D35" s="104">
        <f t="shared" si="5"/>
        <v>9535.900000000001</v>
      </c>
      <c r="E35" s="104">
        <f t="shared" si="5"/>
        <v>7649.299999999997</v>
      </c>
      <c r="F35" s="104">
        <f t="shared" si="5"/>
        <v>5188.300000000001</v>
      </c>
      <c r="G35" s="104">
        <f t="shared" si="5"/>
        <v>29118.199999999997</v>
      </c>
      <c r="H35" s="104">
        <f t="shared" si="5"/>
        <v>7649.300000000003</v>
      </c>
      <c r="I35" s="104">
        <f t="shared" si="5"/>
        <v>15484.599999999995</v>
      </c>
      <c r="J35" s="104">
        <f t="shared" si="5"/>
        <v>6213.000000000002</v>
      </c>
      <c r="K35" s="104">
        <f t="shared" si="5"/>
        <v>3269.100000000002</v>
      </c>
      <c r="L35" s="104">
        <f t="shared" si="5"/>
        <v>20317.699999999993</v>
      </c>
      <c r="M35" s="104">
        <f t="shared" si="5"/>
        <v>8151.900000000003</v>
      </c>
      <c r="N35" s="104">
        <f>SUM(B35:M35)</f>
        <v>196596.40125999996</v>
      </c>
      <c r="O35" s="42">
        <f>SUM(N35/N13)</f>
        <v>0.39885745486029595</v>
      </c>
      <c r="P35" s="40" t="s">
        <v>120</v>
      </c>
    </row>
    <row r="37" ht="15">
      <c r="N37" s="44"/>
    </row>
    <row r="38" spans="14:15" ht="15">
      <c r="N38" s="44">
        <f>SUM(N16+N30+N35)</f>
        <v>492898.90125999996</v>
      </c>
      <c r="O38" s="109">
        <f>SUM(O16+O30+O35)</f>
        <v>0.9999999999999998</v>
      </c>
    </row>
    <row r="39" ht="15">
      <c r="N39" s="41"/>
    </row>
  </sheetData>
  <sheetProtection/>
  <mergeCells count="4">
    <mergeCell ref="A1:N1"/>
    <mergeCell ref="A19:N19"/>
    <mergeCell ref="A33:N33"/>
    <mergeCell ref="A15:N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2015-11-30T05:16:30Z</dcterms:modified>
  <cp:category/>
  <cp:version/>
  <cp:contentType/>
  <cp:contentStatus/>
</cp:coreProperties>
</file>